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ate1904="1" showInkAnnotation="0" codeName="ThisWorkbook" autoCompressPictures="0"/>
  <mc:AlternateContent xmlns:mc="http://schemas.openxmlformats.org/markup-compatibility/2006">
    <mc:Choice Requires="x15">
      <x15ac:absPath xmlns:x15ac="http://schemas.microsoft.com/office/spreadsheetml/2010/11/ac" url="https://barnstablecounty.sharepoint.com/dept/commission/team/208plan/208 Tools and Models/Tech Matrix/Tech matrix 2019 update/"/>
    </mc:Choice>
  </mc:AlternateContent>
  <xr:revisionPtr revIDLastSave="421" documentId="13_ncr:20001_{51BEC6FD-BF6B-47BD-83E6-5EB814E744C9}" xr6:coauthVersionLast="44" xr6:coauthVersionMax="45" xr10:uidLastSave="{6ED2725F-777E-421E-9552-7A1E13D36037}"/>
  <workbookProtection workbookAlgorithmName="SHA-512" workbookHashValue="xLo9cXfmMu7KQo3WonrSyKhQWSh3GTawJnmLenGD9yWzYhNNQpGuPCGvprZCyJaILQu4kZbqazPfwKnJtGggyg==" workbookSaltValue="3gfuEDHt3Qyo+efM2kNAYg==" workbookSpinCount="100000" lockStructure="1"/>
  <bookViews>
    <workbookView xWindow="-120" yWindow="-120" windowWidth="20730" windowHeight="11160" tabRatio="855" xr2:uid="{00000000-000D-0000-FFFF-FFFF00000000}"/>
  </bookViews>
  <sheets>
    <sheet name="Technologies Matrix" sheetId="8" r:id="rId1"/>
    <sheet name="Changes made to v 3.0" sheetId="11" r:id="rId2"/>
    <sheet name="Notes" sheetId="10" r:id="rId3"/>
    <sheet name="Stormwater Details" sheetId="13" r:id="rId4"/>
    <sheet name="Aquaculture Details" sheetId="12" r:id="rId5"/>
    <sheet name="N Reduction Graph" sheetId="9" r:id="rId6"/>
  </sheets>
  <definedNames>
    <definedName name="_xlnm.Print_Area" localSheetId="5">'N Reduction Graph'!$A$1:$DD$128</definedName>
  </definedNam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calcChain.xml><?xml version="1.0" encoding="utf-8"?>
<calcChain xmlns="http://schemas.openxmlformats.org/spreadsheetml/2006/main">
  <c r="AX16" i="8" l="1"/>
  <c r="AX23" i="8" l="1"/>
  <c r="AW23" i="8"/>
  <c r="BG23" i="8" s="1"/>
  <c r="AV23" i="8"/>
  <c r="BF23" i="8" s="1"/>
  <c r="AX20" i="8"/>
  <c r="AW20" i="8"/>
  <c r="BG20" i="8" s="1"/>
  <c r="AV20" i="8"/>
  <c r="BF20" i="8" s="1"/>
  <c r="AX19" i="8"/>
  <c r="AW19" i="8"/>
  <c r="BG19" i="8" s="1"/>
  <c r="AV19" i="8"/>
  <c r="BF19" i="8" s="1"/>
  <c r="AX18" i="8"/>
  <c r="AW18" i="8"/>
  <c r="BG18" i="8" s="1"/>
  <c r="AV18" i="8"/>
  <c r="BF18" i="8" s="1"/>
  <c r="AX17" i="8"/>
  <c r="AW17" i="8"/>
  <c r="BG17" i="8" s="1"/>
  <c r="AV17" i="8"/>
  <c r="BF17" i="8" s="1"/>
  <c r="AW16" i="8"/>
  <c r="BG16" i="8" s="1"/>
  <c r="AV16" i="8"/>
  <c r="BF16" i="8" s="1"/>
  <c r="AX15" i="8"/>
  <c r="AW15" i="8"/>
  <c r="BG15" i="8" s="1"/>
  <c r="AV15" i="8"/>
  <c r="AX14" i="8"/>
  <c r="BH14" i="8" s="1"/>
  <c r="AW14" i="8"/>
  <c r="BG14" i="8" s="1"/>
  <c r="AV14" i="8"/>
  <c r="BF14" i="8" s="1"/>
  <c r="AX13" i="8"/>
  <c r="AW13" i="8"/>
  <c r="AV13" i="8"/>
  <c r="BF13" i="8" s="1"/>
  <c r="AX12" i="8"/>
  <c r="BH12" i="8" s="1"/>
  <c r="AW12" i="8"/>
  <c r="BG12" i="8" s="1"/>
  <c r="AV12" i="8"/>
  <c r="BF12" i="8" s="1"/>
  <c r="AO23" i="8"/>
  <c r="AO20" i="8"/>
  <c r="AO19" i="8"/>
  <c r="AO18" i="8"/>
  <c r="AO17" i="8"/>
  <c r="AO16" i="8"/>
  <c r="AO15" i="8"/>
  <c r="AO13" i="8"/>
  <c r="AO12" i="8"/>
  <c r="AM23" i="8"/>
  <c r="AL23" i="8"/>
  <c r="AQ23" i="8" s="1"/>
  <c r="BD23" i="8" s="1"/>
  <c r="AK23" i="8"/>
  <c r="AM20" i="8"/>
  <c r="AL20" i="8"/>
  <c r="AK20" i="8"/>
  <c r="AM19" i="8"/>
  <c r="AL19" i="8"/>
  <c r="AK19" i="8"/>
  <c r="AM18" i="8"/>
  <c r="AL18" i="8"/>
  <c r="AK18" i="8"/>
  <c r="AP18" i="8" s="1"/>
  <c r="AM17" i="8"/>
  <c r="AL17" i="8"/>
  <c r="AQ17" i="8" s="1"/>
  <c r="BD17" i="8" s="1"/>
  <c r="AK17" i="8"/>
  <c r="AM16" i="8"/>
  <c r="AL16" i="8"/>
  <c r="AK16" i="8"/>
  <c r="AM15" i="8"/>
  <c r="AL15" i="8"/>
  <c r="AK15" i="8"/>
  <c r="AM14" i="8"/>
  <c r="AL14" i="8"/>
  <c r="AQ14" i="8" s="1"/>
  <c r="BD14" i="8" s="1"/>
  <c r="AK14" i="8"/>
  <c r="AP14" i="8" s="1"/>
  <c r="AM13" i="8"/>
  <c r="AL13" i="8"/>
  <c r="AK13" i="8"/>
  <c r="AM12" i="8"/>
  <c r="AL12" i="8"/>
  <c r="AK12" i="8"/>
  <c r="BT23" i="8"/>
  <c r="BS23" i="8"/>
  <c r="BR23" i="8"/>
  <c r="BT20" i="8"/>
  <c r="BS20" i="8"/>
  <c r="BR20" i="8"/>
  <c r="BT19" i="8"/>
  <c r="BS19" i="8"/>
  <c r="BR19" i="8"/>
  <c r="BT18" i="8"/>
  <c r="BS18" i="8"/>
  <c r="BR18" i="8"/>
  <c r="BT17" i="8"/>
  <c r="BS17" i="8"/>
  <c r="BR17" i="8"/>
  <c r="BT16" i="8"/>
  <c r="BS16" i="8"/>
  <c r="BR16" i="8"/>
  <c r="BT15" i="8"/>
  <c r="BS15" i="8"/>
  <c r="BR15" i="8"/>
  <c r="BT14" i="8"/>
  <c r="BS14" i="8"/>
  <c r="BR14" i="8"/>
  <c r="BT13" i="8"/>
  <c r="BS13" i="8"/>
  <c r="BR13" i="8"/>
  <c r="BT12" i="8"/>
  <c r="BS12" i="8"/>
  <c r="BR12" i="8"/>
  <c r="BQ23" i="8"/>
  <c r="BQ20" i="8"/>
  <c r="BQ19" i="8"/>
  <c r="BQ18" i="8"/>
  <c r="BQ17" i="8"/>
  <c r="BQ16" i="8"/>
  <c r="BQ15" i="8"/>
  <c r="BQ14" i="8"/>
  <c r="BQ13" i="8"/>
  <c r="BQ12" i="8"/>
  <c r="W23" i="8"/>
  <c r="W22" i="8"/>
  <c r="W21" i="8"/>
  <c r="W20" i="8"/>
  <c r="W19" i="8"/>
  <c r="W18" i="8"/>
  <c r="W17" i="8"/>
  <c r="W16" i="8"/>
  <c r="W15" i="8"/>
  <c r="W14" i="8"/>
  <c r="W13" i="8"/>
  <c r="W12" i="8"/>
  <c r="R23" i="8"/>
  <c r="AE23" i="8" s="1"/>
  <c r="R22" i="8"/>
  <c r="AD22" i="8" s="1"/>
  <c r="AF22" i="8" s="1"/>
  <c r="R21" i="8"/>
  <c r="AE21" i="8" s="1"/>
  <c r="AG21" i="8" s="1"/>
  <c r="R20" i="8"/>
  <c r="R19" i="8"/>
  <c r="AD19" i="8" s="1"/>
  <c r="BO19" i="8" s="1"/>
  <c r="R18" i="8"/>
  <c r="AE18" i="8" s="1"/>
  <c r="R17" i="8"/>
  <c r="AD17" i="8" s="1"/>
  <c r="R16" i="8"/>
  <c r="AE16" i="8" s="1"/>
  <c r="AG16" i="8" s="1"/>
  <c r="R15" i="8"/>
  <c r="R14" i="8"/>
  <c r="AE14" i="8" s="1"/>
  <c r="AG14" i="8" s="1"/>
  <c r="R13" i="8"/>
  <c r="R12" i="8"/>
  <c r="CI23" i="8"/>
  <c r="BH23" i="8"/>
  <c r="AU23" i="8"/>
  <c r="AJ23" i="8"/>
  <c r="AB23" i="8"/>
  <c r="Z23" i="8"/>
  <c r="Q23" i="8"/>
  <c r="Q22" i="8"/>
  <c r="Y22" i="8" s="1"/>
  <c r="AA22" i="8" s="1"/>
  <c r="Z21" i="8"/>
  <c r="AB21" i="8" s="1"/>
  <c r="Y21" i="8"/>
  <c r="AA21" i="8" s="1"/>
  <c r="AC21" i="8" s="1"/>
  <c r="Q21" i="8"/>
  <c r="AU20" i="8"/>
  <c r="AQ20" i="8"/>
  <c r="BD20" i="8" s="1"/>
  <c r="AJ20" i="8"/>
  <c r="Y20" i="8"/>
  <c r="CJ20" i="8" s="1"/>
  <c r="Q20" i="8"/>
  <c r="AU19" i="8"/>
  <c r="AJ19" i="8"/>
  <c r="Z19" i="8"/>
  <c r="AB19" i="8" s="1"/>
  <c r="AE19" i="8"/>
  <c r="Q19" i="8"/>
  <c r="AU18" i="8"/>
  <c r="AJ18" i="8"/>
  <c r="Z18" i="8"/>
  <c r="CI18" i="8" s="1"/>
  <c r="Y18" i="8"/>
  <c r="AA18" i="8" s="1"/>
  <c r="Q18" i="8"/>
  <c r="AU17" i="8"/>
  <c r="AJ17" i="8"/>
  <c r="Z17" i="8"/>
  <c r="CI17" i="8" s="1"/>
  <c r="Y17" i="8"/>
  <c r="Q17" i="8"/>
  <c r="BH16" i="8"/>
  <c r="AU16" i="8"/>
  <c r="AJ16" i="8"/>
  <c r="AA16" i="8"/>
  <c r="Y16" i="8"/>
  <c r="Q16" i="8"/>
  <c r="Z16" i="8" s="1"/>
  <c r="AB16" i="8" s="1"/>
  <c r="BF15" i="8"/>
  <c r="AU15" i="8"/>
  <c r="AJ15" i="8"/>
  <c r="AD15" i="8"/>
  <c r="AF15" i="8" s="1"/>
  <c r="Y15" i="8"/>
  <c r="AE15" i="8"/>
  <c r="Q15" i="8"/>
  <c r="AU14" i="8"/>
  <c r="AJ14" i="8"/>
  <c r="AA14" i="8"/>
  <c r="Z14" i="8"/>
  <c r="AB14" i="8" s="1"/>
  <c r="Y14" i="8"/>
  <c r="Q14" i="8"/>
  <c r="BM13" i="8"/>
  <c r="BG13" i="8"/>
  <c r="AU13" i="8"/>
  <c r="AP13" i="8"/>
  <c r="AJ13" i="8"/>
  <c r="AA13" i="8"/>
  <c r="Z13" i="8"/>
  <c r="Y13" i="8"/>
  <c r="AU12" i="8"/>
  <c r="AJ12" i="8"/>
  <c r="AD12" i="8"/>
  <c r="BO12" i="8" s="1"/>
  <c r="Z12" i="8"/>
  <c r="AB12" i="8" s="1"/>
  <c r="Y12" i="8"/>
  <c r="AE12" i="8"/>
  <c r="BH20" i="8" l="1"/>
  <c r="BH19" i="8"/>
  <c r="BH18" i="8"/>
  <c r="BH17" i="8"/>
  <c r="BH15" i="8"/>
  <c r="BH13" i="8"/>
  <c r="BX13" i="8" s="1"/>
  <c r="AP23" i="8"/>
  <c r="AR23" i="8" s="1"/>
  <c r="BE23" i="8" s="1"/>
  <c r="AP20" i="8"/>
  <c r="BC20" i="8" s="1"/>
  <c r="AQ19" i="8"/>
  <c r="BD19" i="8" s="1"/>
  <c r="AP19" i="8"/>
  <c r="AQ18" i="8"/>
  <c r="BD18" i="8" s="1"/>
  <c r="AP17" i="8"/>
  <c r="AQ16" i="8"/>
  <c r="BD16" i="8" s="1"/>
  <c r="AP16" i="8"/>
  <c r="AR16" i="8" s="1"/>
  <c r="BE16" i="8" s="1"/>
  <c r="AQ13" i="8"/>
  <c r="BD13" i="8" s="1"/>
  <c r="CJ13" i="8" s="1"/>
  <c r="AQ12" i="8"/>
  <c r="BD12" i="8" s="1"/>
  <c r="CJ12" i="8" s="1"/>
  <c r="AQ15" i="8"/>
  <c r="BD15" i="8" s="1"/>
  <c r="AP12" i="8"/>
  <c r="AD23" i="8"/>
  <c r="BO23" i="8" s="1"/>
  <c r="AE22" i="8"/>
  <c r="AG22" i="8" s="1"/>
  <c r="CL17" i="8"/>
  <c r="AF17" i="8"/>
  <c r="AE17" i="8"/>
  <c r="BU12" i="8"/>
  <c r="AG23" i="8"/>
  <c r="AE20" i="8"/>
  <c r="Z20" i="8"/>
  <c r="AA20" i="8"/>
  <c r="AD21" i="8"/>
  <c r="AF21" i="8" s="1"/>
  <c r="Y23" i="8"/>
  <c r="AD20" i="8"/>
  <c r="AR19" i="8"/>
  <c r="BE19" i="8" s="1"/>
  <c r="BC19" i="8"/>
  <c r="CK19" i="8" s="1"/>
  <c r="AC16" i="8"/>
  <c r="AG18" i="8"/>
  <c r="BU16" i="8"/>
  <c r="BC17" i="8"/>
  <c r="AR17" i="8"/>
  <c r="BE17" i="8" s="1"/>
  <c r="AG19" i="8"/>
  <c r="AR18" i="8"/>
  <c r="BE18" i="8" s="1"/>
  <c r="BC18" i="8"/>
  <c r="CK18" i="8" s="1"/>
  <c r="BP19" i="8"/>
  <c r="CD19" i="8"/>
  <c r="AD16" i="8"/>
  <c r="AA17" i="8"/>
  <c r="AC17" i="8" s="1"/>
  <c r="AB18" i="8"/>
  <c r="AC18" i="8" s="1"/>
  <c r="CI19" i="8"/>
  <c r="BM16" i="8"/>
  <c r="AB17" i="8"/>
  <c r="AD18" i="8"/>
  <c r="CJ18" i="8"/>
  <c r="CJ17" i="8"/>
  <c r="BM18" i="8"/>
  <c r="AF19" i="8"/>
  <c r="CL19" i="8"/>
  <c r="BM17" i="8"/>
  <c r="Y19" i="8"/>
  <c r="AR14" i="8"/>
  <c r="BE14" i="8" s="1"/>
  <c r="BC14" i="8"/>
  <c r="BP12" i="8"/>
  <c r="CD12" i="8"/>
  <c r="CL12" i="8"/>
  <c r="AG12" i="8"/>
  <c r="AC14" i="8"/>
  <c r="BC12" i="8"/>
  <c r="CK12" i="8" s="1"/>
  <c r="AR12" i="8"/>
  <c r="BE12" i="8" s="1"/>
  <c r="BO15" i="8"/>
  <c r="AG15" i="8"/>
  <c r="Z15" i="8"/>
  <c r="AB15" i="8" s="1"/>
  <c r="AB13" i="8"/>
  <c r="AC13" i="8" s="1"/>
  <c r="AA15" i="8"/>
  <c r="AC15" i="8" s="1"/>
  <c r="AE13" i="8"/>
  <c r="AA12" i="8"/>
  <c r="AC12" i="8" s="1"/>
  <c r="AD14" i="8"/>
  <c r="BM14" i="8"/>
  <c r="AF12" i="8"/>
  <c r="AD13" i="8"/>
  <c r="BC13" i="8"/>
  <c r="CK13" i="8" s="1"/>
  <c r="BN13" i="8"/>
  <c r="AP15" i="8"/>
  <c r="BM15" i="8"/>
  <c r="BM12" i="8"/>
  <c r="R26" i="8"/>
  <c r="Q26" i="8"/>
  <c r="T10" i="8"/>
  <c r="F11" i="9" s="1"/>
  <c r="S10" i="8"/>
  <c r="E11" i="9" s="1"/>
  <c r="T8" i="8"/>
  <c r="S8" i="8"/>
  <c r="T7" i="8"/>
  <c r="S7" i="8"/>
  <c r="T42" i="8"/>
  <c r="F53" i="9" s="1"/>
  <c r="S42" i="8"/>
  <c r="T36" i="8"/>
  <c r="F43" i="9" s="1"/>
  <c r="S36" i="8"/>
  <c r="T35" i="8"/>
  <c r="S35" i="8"/>
  <c r="T37" i="8"/>
  <c r="S37" i="8"/>
  <c r="T38" i="8"/>
  <c r="Z38" i="8" s="1"/>
  <c r="S38" i="8"/>
  <c r="Y38" i="8" s="1"/>
  <c r="AA38" i="8" s="1"/>
  <c r="T39" i="8"/>
  <c r="F47" i="9" s="1"/>
  <c r="S39" i="8"/>
  <c r="E47" i="9" s="1"/>
  <c r="S61" i="8"/>
  <c r="T61" i="8" s="1"/>
  <c r="F89" i="9" s="1"/>
  <c r="S60" i="8"/>
  <c r="T60" i="8" s="1"/>
  <c r="S59" i="8"/>
  <c r="T59" i="8" s="1"/>
  <c r="W59" i="8" s="1"/>
  <c r="S58" i="8"/>
  <c r="Y58" i="8" s="1"/>
  <c r="S57" i="8"/>
  <c r="T57" i="8" s="1"/>
  <c r="S56" i="8"/>
  <c r="T56" i="8" s="1"/>
  <c r="S55" i="8"/>
  <c r="T55" i="8" s="1"/>
  <c r="F77" i="9" s="1"/>
  <c r="S54" i="8"/>
  <c r="Q53" i="8"/>
  <c r="W11" i="8" s="1"/>
  <c r="AW39" i="8"/>
  <c r="BG39" i="8" s="1"/>
  <c r="AX31" i="8"/>
  <c r="BH31" i="8" s="1"/>
  <c r="AX29" i="8"/>
  <c r="AM31" i="8"/>
  <c r="Y31" i="8"/>
  <c r="AW38" i="8"/>
  <c r="BG38" i="8" s="1"/>
  <c r="AV38" i="8"/>
  <c r="BF38" i="8" s="1"/>
  <c r="AU38" i="8"/>
  <c r="AX38" i="8" s="1"/>
  <c r="BH38" i="8" s="1"/>
  <c r="AL38" i="8"/>
  <c r="AQ38" i="8" s="1"/>
  <c r="BD38" i="8" s="1"/>
  <c r="AK38" i="8"/>
  <c r="AP38" i="8" s="1"/>
  <c r="AJ38" i="8"/>
  <c r="AM38" i="8" s="1"/>
  <c r="R38" i="8"/>
  <c r="AE38" i="8" s="1"/>
  <c r="P38" i="8"/>
  <c r="BL55" i="8"/>
  <c r="BL54" i="8"/>
  <c r="BL51" i="8"/>
  <c r="BL49" i="8"/>
  <c r="BL44" i="8"/>
  <c r="BL43" i="8"/>
  <c r="BL42" i="8"/>
  <c r="BL7" i="8"/>
  <c r="R10" i="8"/>
  <c r="Q9" i="8"/>
  <c r="M7" i="8"/>
  <c r="AE45" i="8"/>
  <c r="AG45" i="8" s="1"/>
  <c r="AD45" i="8"/>
  <c r="AF45" i="8" s="1"/>
  <c r="Z45" i="8"/>
  <c r="Y45" i="8"/>
  <c r="AA45" i="8" s="1"/>
  <c r="AE52" i="8"/>
  <c r="AD52" i="8"/>
  <c r="Z52" i="8"/>
  <c r="AB52" i="8" s="1"/>
  <c r="Y52" i="8"/>
  <c r="AA52" i="8"/>
  <c r="AC52" i="8" s="1"/>
  <c r="AE51" i="8"/>
  <c r="CK51" i="8" s="1"/>
  <c r="AD51" i="8"/>
  <c r="AF51" i="8" s="1"/>
  <c r="BT81" i="8"/>
  <c r="BS81" i="8"/>
  <c r="BR81" i="8"/>
  <c r="BQ81" i="8"/>
  <c r="R55" i="8"/>
  <c r="Y55" i="8"/>
  <c r="AA55" i="8" s="1"/>
  <c r="R54" i="8"/>
  <c r="AE54" i="8" s="1"/>
  <c r="AG54" i="8" s="1"/>
  <c r="R53" i="8"/>
  <c r="Y46" i="8"/>
  <c r="Z46" i="8"/>
  <c r="AB46" i="8" s="1"/>
  <c r="R8" i="8"/>
  <c r="M8" i="8"/>
  <c r="R9" i="8"/>
  <c r="Y48" i="8"/>
  <c r="BM48" i="8" s="1"/>
  <c r="Y27" i="8"/>
  <c r="Z27" i="8"/>
  <c r="AB27" i="8" s="1"/>
  <c r="Y25" i="8"/>
  <c r="BM25" i="8" s="1"/>
  <c r="BN25" i="8" s="1"/>
  <c r="Z25" i="8"/>
  <c r="Y24" i="8"/>
  <c r="BM24" i="8" s="1"/>
  <c r="Z24" i="8"/>
  <c r="AB24" i="8" s="1"/>
  <c r="M50" i="8"/>
  <c r="Z50" i="8" s="1"/>
  <c r="AB50" i="8" s="1"/>
  <c r="M40" i="8"/>
  <c r="M34" i="8"/>
  <c r="M33" i="8"/>
  <c r="R33" i="8"/>
  <c r="AD33" i="8" s="1"/>
  <c r="M28" i="8"/>
  <c r="Z28" i="8" s="1"/>
  <c r="M11" i="8"/>
  <c r="M9" i="8"/>
  <c r="P9" i="8" s="1"/>
  <c r="Y8" i="8"/>
  <c r="AA8" i="8" s="1"/>
  <c r="Y80" i="8"/>
  <c r="CJ81" i="8" s="1"/>
  <c r="Z80" i="8"/>
  <c r="AD80" i="8"/>
  <c r="AE80" i="8"/>
  <c r="CK81" i="8" s="1"/>
  <c r="AJ80" i="8"/>
  <c r="AM80" i="8" s="1"/>
  <c r="AK80" i="8"/>
  <c r="AP80" i="8" s="1"/>
  <c r="BC80" i="8" s="1"/>
  <c r="AL80" i="8"/>
  <c r="AQ80" i="8" s="1"/>
  <c r="BD80" i="8" s="1"/>
  <c r="AU80" i="8"/>
  <c r="AX80" i="8" s="1"/>
  <c r="BH80" i="8" s="1"/>
  <c r="AV80" i="8"/>
  <c r="BF80" i="8" s="1"/>
  <c r="AW80" i="8"/>
  <c r="BG80" i="8" s="1"/>
  <c r="BK80" i="8"/>
  <c r="BL80" i="8"/>
  <c r="C134" i="8"/>
  <c r="D134" i="8" s="1"/>
  <c r="R34" i="8"/>
  <c r="AE34" i="8" s="1"/>
  <c r="AG34" i="8" s="1"/>
  <c r="R7" i="8"/>
  <c r="R30" i="8"/>
  <c r="AD30" i="8" s="1"/>
  <c r="CL30" i="8" s="1"/>
  <c r="Y30" i="8"/>
  <c r="CJ30" i="8" s="1"/>
  <c r="R32" i="8"/>
  <c r="AE32" i="8" s="1"/>
  <c r="CK32" i="8" s="1"/>
  <c r="Y32" i="8"/>
  <c r="CJ32" i="8" s="1"/>
  <c r="Z30" i="8"/>
  <c r="AB30" i="8" s="1"/>
  <c r="Z32" i="8"/>
  <c r="CI32" i="8" s="1"/>
  <c r="E25" i="9"/>
  <c r="H3" i="9"/>
  <c r="C73" i="9"/>
  <c r="C59" i="9"/>
  <c r="C49" i="9"/>
  <c r="C41" i="9"/>
  <c r="C25" i="9"/>
  <c r="C5" i="9"/>
  <c r="E7" i="9"/>
  <c r="F7" i="9"/>
  <c r="E9" i="9"/>
  <c r="F9" i="9"/>
  <c r="E13" i="9"/>
  <c r="F13" i="9"/>
  <c r="E15" i="9"/>
  <c r="F15" i="9"/>
  <c r="E17" i="9"/>
  <c r="G17" i="9" s="1"/>
  <c r="F17" i="9"/>
  <c r="E19" i="9"/>
  <c r="F19" i="9"/>
  <c r="E21" i="9"/>
  <c r="F21" i="9"/>
  <c r="E23" i="9"/>
  <c r="F23" i="9"/>
  <c r="F25" i="9"/>
  <c r="E27" i="9"/>
  <c r="F27" i="9"/>
  <c r="H27" i="9" s="1"/>
  <c r="E29" i="9"/>
  <c r="F29" i="9"/>
  <c r="E31" i="9"/>
  <c r="F31" i="9"/>
  <c r="E33" i="9"/>
  <c r="F33" i="9"/>
  <c r="E35" i="9"/>
  <c r="F35" i="9"/>
  <c r="G35" i="9" s="1"/>
  <c r="E37" i="9"/>
  <c r="F37" i="9"/>
  <c r="E39" i="9"/>
  <c r="F39" i="9"/>
  <c r="E41" i="9"/>
  <c r="F41" i="9"/>
  <c r="E43" i="9"/>
  <c r="F45" i="9"/>
  <c r="E49" i="9"/>
  <c r="F49" i="9"/>
  <c r="H49" i="9" s="1"/>
  <c r="E51" i="9"/>
  <c r="F51" i="9"/>
  <c r="E53" i="9"/>
  <c r="E55" i="9"/>
  <c r="F55" i="9"/>
  <c r="H55" i="9" s="1"/>
  <c r="E57" i="9"/>
  <c r="F57" i="9"/>
  <c r="G57" i="9" s="1"/>
  <c r="E59" i="9"/>
  <c r="F59" i="9"/>
  <c r="E61" i="9"/>
  <c r="F61" i="9"/>
  <c r="E63" i="9"/>
  <c r="F63" i="9"/>
  <c r="H63" i="9" s="1"/>
  <c r="E65" i="9"/>
  <c r="F65" i="9"/>
  <c r="G65" i="9" s="1"/>
  <c r="E67" i="9"/>
  <c r="F67" i="9"/>
  <c r="E69" i="9"/>
  <c r="F69" i="9"/>
  <c r="E71" i="9"/>
  <c r="F71" i="9"/>
  <c r="H71" i="9" s="1"/>
  <c r="E73" i="9"/>
  <c r="F73" i="9"/>
  <c r="H73" i="9" s="1"/>
  <c r="E77" i="9"/>
  <c r="H77" i="9" s="1"/>
  <c r="E79" i="9"/>
  <c r="F79" i="9"/>
  <c r="E81" i="9"/>
  <c r="E85" i="9"/>
  <c r="E87" i="9"/>
  <c r="F87" i="9"/>
  <c r="H87" i="9" s="1"/>
  <c r="E89" i="9"/>
  <c r="H89" i="9" s="1"/>
  <c r="E90" i="9"/>
  <c r="F90" i="9"/>
  <c r="E91" i="9"/>
  <c r="F91" i="9"/>
  <c r="E92" i="9"/>
  <c r="F92" i="9"/>
  <c r="E93" i="9"/>
  <c r="F93" i="9"/>
  <c r="E94" i="9"/>
  <c r="F94" i="9"/>
  <c r="E95" i="9"/>
  <c r="F95" i="9"/>
  <c r="E96" i="9"/>
  <c r="F96" i="9"/>
  <c r="E97" i="9"/>
  <c r="F97" i="9"/>
  <c r="E98" i="9"/>
  <c r="F98" i="9"/>
  <c r="E99" i="9"/>
  <c r="F99" i="9"/>
  <c r="E100" i="9"/>
  <c r="F100" i="9"/>
  <c r="E101" i="9"/>
  <c r="F101" i="9"/>
  <c r="E102" i="9"/>
  <c r="F102" i="9"/>
  <c r="E103" i="9"/>
  <c r="F103" i="9"/>
  <c r="E104" i="9"/>
  <c r="F104" i="9"/>
  <c r="E105" i="9"/>
  <c r="F105" i="9"/>
  <c r="E106" i="9"/>
  <c r="F106" i="9"/>
  <c r="E107" i="9"/>
  <c r="F107" i="9"/>
  <c r="E108" i="9"/>
  <c r="F108" i="9"/>
  <c r="E109" i="9"/>
  <c r="F109" i="9"/>
  <c r="E110" i="9"/>
  <c r="F110" i="9"/>
  <c r="E111" i="9"/>
  <c r="F111" i="9"/>
  <c r="E112" i="9"/>
  <c r="F112" i="9"/>
  <c r="E113" i="9"/>
  <c r="F113" i="9"/>
  <c r="E114" i="9"/>
  <c r="F114" i="9"/>
  <c r="E115" i="9"/>
  <c r="F115" i="9"/>
  <c r="E116" i="9"/>
  <c r="F116" i="9"/>
  <c r="E117" i="9"/>
  <c r="F117" i="9"/>
  <c r="E118" i="9"/>
  <c r="F118" i="9"/>
  <c r="E119" i="9"/>
  <c r="F119" i="9"/>
  <c r="E120" i="9"/>
  <c r="F120" i="9"/>
  <c r="E121" i="9"/>
  <c r="F121" i="9"/>
  <c r="E122" i="9"/>
  <c r="F122" i="9"/>
  <c r="E123" i="9"/>
  <c r="F123" i="9"/>
  <c r="E124" i="9"/>
  <c r="F124" i="9"/>
  <c r="E125" i="9"/>
  <c r="F125" i="9"/>
  <c r="E126" i="9"/>
  <c r="F126" i="9"/>
  <c r="F5" i="9"/>
  <c r="D110" i="9"/>
  <c r="D111" i="9"/>
  <c r="D112" i="9"/>
  <c r="D113" i="9"/>
  <c r="D114" i="9"/>
  <c r="D115" i="9"/>
  <c r="D116" i="9"/>
  <c r="D117" i="9"/>
  <c r="D118" i="9"/>
  <c r="D119" i="9"/>
  <c r="D120" i="9"/>
  <c r="D121" i="9"/>
  <c r="D122" i="9"/>
  <c r="D123" i="9"/>
  <c r="D124" i="9"/>
  <c r="D125" i="9"/>
  <c r="D126" i="9"/>
  <c r="D81" i="9"/>
  <c r="D83" i="9"/>
  <c r="D85" i="9"/>
  <c r="D87" i="9"/>
  <c r="D89" i="9"/>
  <c r="D90" i="9"/>
  <c r="D91" i="9"/>
  <c r="D92" i="9"/>
  <c r="D93" i="9"/>
  <c r="D94" i="9"/>
  <c r="D95" i="9"/>
  <c r="D96" i="9"/>
  <c r="D97" i="9"/>
  <c r="D98" i="9"/>
  <c r="D99" i="9"/>
  <c r="D100" i="9"/>
  <c r="D101" i="9"/>
  <c r="D102" i="9"/>
  <c r="D103" i="9"/>
  <c r="D104" i="9"/>
  <c r="D105" i="9"/>
  <c r="D106" i="9"/>
  <c r="D107" i="9"/>
  <c r="D108" i="9"/>
  <c r="D109" i="9"/>
  <c r="D7" i="9"/>
  <c r="D9" i="9"/>
  <c r="D11" i="9"/>
  <c r="D13" i="9"/>
  <c r="D15" i="9"/>
  <c r="D17" i="9"/>
  <c r="D19" i="9"/>
  <c r="D21" i="9"/>
  <c r="D23" i="9"/>
  <c r="D25" i="9"/>
  <c r="D27" i="9"/>
  <c r="D29" i="9"/>
  <c r="D31" i="9"/>
  <c r="D33" i="9"/>
  <c r="D35" i="9"/>
  <c r="D37" i="9"/>
  <c r="D39" i="9"/>
  <c r="D41" i="9"/>
  <c r="D43" i="9"/>
  <c r="D45" i="9"/>
  <c r="D47" i="9"/>
  <c r="D49" i="9"/>
  <c r="D51" i="9"/>
  <c r="D53" i="9"/>
  <c r="D55" i="9"/>
  <c r="D57" i="9"/>
  <c r="D59" i="9"/>
  <c r="D61" i="9"/>
  <c r="D63" i="9"/>
  <c r="D65" i="9"/>
  <c r="D67" i="9"/>
  <c r="D69" i="9"/>
  <c r="D71" i="9"/>
  <c r="D75" i="9"/>
  <c r="D77" i="9"/>
  <c r="D79" i="9"/>
  <c r="D5" i="9"/>
  <c r="BL56" i="8"/>
  <c r="BL57" i="8"/>
  <c r="BL58" i="8"/>
  <c r="BL59" i="8"/>
  <c r="BL60" i="8"/>
  <c r="BL61" i="8"/>
  <c r="BL62" i="8"/>
  <c r="BL63" i="8"/>
  <c r="BL64" i="8"/>
  <c r="BL65" i="8"/>
  <c r="BL66" i="8"/>
  <c r="BL67" i="8"/>
  <c r="BL68" i="8"/>
  <c r="BL69" i="8"/>
  <c r="BL70" i="8"/>
  <c r="BL71" i="8"/>
  <c r="BL72" i="8"/>
  <c r="BL75" i="8"/>
  <c r="BL76" i="8"/>
  <c r="BL77" i="8"/>
  <c r="BL78" i="8"/>
  <c r="BL79" i="8"/>
  <c r="BL82" i="8"/>
  <c r="BL83" i="8"/>
  <c r="BL84" i="8"/>
  <c r="BL85" i="8"/>
  <c r="BL86" i="8"/>
  <c r="BL87" i="8"/>
  <c r="BL88" i="8"/>
  <c r="BL89" i="8"/>
  <c r="BL90" i="8"/>
  <c r="BL91" i="8"/>
  <c r="BL92" i="8"/>
  <c r="BL93" i="8"/>
  <c r="BL94" i="8"/>
  <c r="BL95" i="8"/>
  <c r="BL96" i="8"/>
  <c r="BL97" i="8"/>
  <c r="BL98" i="8"/>
  <c r="BL99" i="8"/>
  <c r="AU71" i="8"/>
  <c r="AX71" i="8" s="1"/>
  <c r="BH71" i="8" s="1"/>
  <c r="Q41" i="8"/>
  <c r="AF111" i="8"/>
  <c r="AX30" i="8"/>
  <c r="BH30" i="8" s="1"/>
  <c r="AM32" i="8"/>
  <c r="AR32" i="8" s="1"/>
  <c r="BE32" i="8" s="1"/>
  <c r="BJ32" i="8" s="1"/>
  <c r="AM30" i="8"/>
  <c r="AR30" i="8" s="1"/>
  <c r="BE30" i="8" s="1"/>
  <c r="AX32" i="8"/>
  <c r="BH32" i="8" s="1"/>
  <c r="BH29" i="8"/>
  <c r="AU8" i="8"/>
  <c r="AX8" i="8" s="1"/>
  <c r="BH8" i="8" s="1"/>
  <c r="P11" i="8"/>
  <c r="AU61" i="8"/>
  <c r="AX61" i="8" s="1"/>
  <c r="BH61" i="8" s="1"/>
  <c r="AU60" i="8"/>
  <c r="AX60" i="8" s="1"/>
  <c r="BH60" i="8" s="1"/>
  <c r="AU59" i="8"/>
  <c r="AX59" i="8" s="1"/>
  <c r="BH59" i="8" s="1"/>
  <c r="AU58" i="8"/>
  <c r="AX58" i="8" s="1"/>
  <c r="BH58" i="8" s="1"/>
  <c r="AU57" i="8"/>
  <c r="AU56" i="8"/>
  <c r="AX56" i="8"/>
  <c r="BH56" i="8" s="1"/>
  <c r="AJ61" i="8"/>
  <c r="AM61" i="8" s="1"/>
  <c r="AJ60" i="8"/>
  <c r="AM60" i="8" s="1"/>
  <c r="AJ59" i="8"/>
  <c r="AJ58" i="8"/>
  <c r="AM58" i="8" s="1"/>
  <c r="AJ57" i="8"/>
  <c r="AM57" i="8" s="1"/>
  <c r="AR57" i="8" s="1"/>
  <c r="BE57" i="8" s="1"/>
  <c r="AJ56" i="8"/>
  <c r="AA91" i="8"/>
  <c r="AB91" i="8"/>
  <c r="AC91" i="8" s="1"/>
  <c r="AF91" i="8"/>
  <c r="AG91" i="8"/>
  <c r="AA92" i="8"/>
  <c r="AB92" i="8"/>
  <c r="AF92" i="8"/>
  <c r="AG92" i="8"/>
  <c r="AA93" i="8"/>
  <c r="AB93" i="8"/>
  <c r="AC93" i="8" s="1"/>
  <c r="AF93" i="8"/>
  <c r="AG93" i="8"/>
  <c r="AA94" i="8"/>
  <c r="AB94" i="8"/>
  <c r="AF94" i="8"/>
  <c r="AG94" i="8"/>
  <c r="AA95" i="8"/>
  <c r="AB95" i="8"/>
  <c r="AF95" i="8"/>
  <c r="AG95" i="8"/>
  <c r="AA96" i="8"/>
  <c r="AB96" i="8"/>
  <c r="AF96" i="8"/>
  <c r="AG96" i="8"/>
  <c r="AA97" i="8"/>
  <c r="AB97" i="8"/>
  <c r="AC97" i="8" s="1"/>
  <c r="AF97" i="8"/>
  <c r="AG97" i="8"/>
  <c r="AA98" i="8"/>
  <c r="AB98" i="8"/>
  <c r="AF98" i="8"/>
  <c r="AG98" i="8"/>
  <c r="AA99" i="8"/>
  <c r="AB99" i="8"/>
  <c r="AC99" i="8" s="1"/>
  <c r="AF99" i="8"/>
  <c r="AG99" i="8"/>
  <c r="Y62" i="8"/>
  <c r="Z62" i="8"/>
  <c r="AD62" i="8"/>
  <c r="AF62" i="8" s="1"/>
  <c r="AE62" i="8"/>
  <c r="CK62" i="8" s="1"/>
  <c r="Y63" i="8"/>
  <c r="CJ63" i="8" s="1"/>
  <c r="Z63" i="8"/>
  <c r="AB63" i="8" s="1"/>
  <c r="AD63" i="8"/>
  <c r="AE63" i="8"/>
  <c r="Y64" i="8"/>
  <c r="Z64" i="8"/>
  <c r="AD64" i="8"/>
  <c r="CL64" i="8" s="1"/>
  <c r="AE64" i="8"/>
  <c r="CK64" i="8" s="1"/>
  <c r="Y65" i="8"/>
  <c r="AA65" i="8" s="1"/>
  <c r="Z65" i="8"/>
  <c r="AB65" i="8" s="1"/>
  <c r="AC65" i="8" s="1"/>
  <c r="AD65" i="8"/>
  <c r="CL65" i="8" s="1"/>
  <c r="AE65" i="8"/>
  <c r="AG65" i="8" s="1"/>
  <c r="Y66" i="8"/>
  <c r="CJ66" i="8" s="1"/>
  <c r="Z66" i="8"/>
  <c r="CI66" i="8" s="1"/>
  <c r="AD66" i="8"/>
  <c r="AF66" i="8" s="1"/>
  <c r="AE66" i="8"/>
  <c r="CK66" i="8" s="1"/>
  <c r="Y67" i="8"/>
  <c r="AA67" i="8"/>
  <c r="Z67" i="8"/>
  <c r="AB67" i="8" s="1"/>
  <c r="AD67" i="8"/>
  <c r="AE67" i="8"/>
  <c r="AG67" i="8" s="1"/>
  <c r="Y68" i="8"/>
  <c r="Z68" i="8"/>
  <c r="AB68" i="8" s="1"/>
  <c r="AC68" i="8" s="1"/>
  <c r="AD68" i="8"/>
  <c r="AF68" i="8" s="1"/>
  <c r="AE68" i="8"/>
  <c r="CK68" i="8" s="1"/>
  <c r="Y69" i="8"/>
  <c r="CJ69" i="8" s="1"/>
  <c r="Z69" i="8"/>
  <c r="AB69" i="8" s="1"/>
  <c r="AD69" i="8"/>
  <c r="AE69" i="8"/>
  <c r="AG69" i="8" s="1"/>
  <c r="Y70" i="8"/>
  <c r="AA70" i="8" s="1"/>
  <c r="Z70" i="8"/>
  <c r="CI70" i="8" s="1"/>
  <c r="AD70" i="8"/>
  <c r="AF70" i="8" s="1"/>
  <c r="AE70" i="8"/>
  <c r="CK70" i="8" s="1"/>
  <c r="Y71" i="8"/>
  <c r="Z71" i="8"/>
  <c r="AD71" i="8"/>
  <c r="AF71" i="8" s="1"/>
  <c r="AE71" i="8"/>
  <c r="AG71" i="8" s="1"/>
  <c r="Y72" i="8"/>
  <c r="Z72" i="8"/>
  <c r="AB72" i="8" s="1"/>
  <c r="AD72" i="8"/>
  <c r="AF72" i="8" s="1"/>
  <c r="AE72" i="8"/>
  <c r="Y73" i="8"/>
  <c r="CJ73" i="8" s="1"/>
  <c r="Z73" i="8"/>
  <c r="AD73" i="8"/>
  <c r="AE73" i="8"/>
  <c r="AG73" i="8" s="1"/>
  <c r="Y74" i="8"/>
  <c r="AA74" i="8" s="1"/>
  <c r="Z74" i="8"/>
  <c r="CI74" i="8" s="1"/>
  <c r="AD74" i="8"/>
  <c r="AE74" i="8"/>
  <c r="Y75" i="8"/>
  <c r="Z75" i="8"/>
  <c r="AD75" i="8"/>
  <c r="AF75" i="8" s="1"/>
  <c r="AE75" i="8"/>
  <c r="AG75" i="8" s="1"/>
  <c r="Y76" i="8"/>
  <c r="AA76" i="8" s="1"/>
  <c r="Z76" i="8"/>
  <c r="AB76" i="8" s="1"/>
  <c r="AD76" i="8"/>
  <c r="AF76" i="8" s="1"/>
  <c r="AE76" i="8"/>
  <c r="AG76" i="8" s="1"/>
  <c r="Y77" i="8"/>
  <c r="AA77" i="8" s="1"/>
  <c r="Z77" i="8"/>
  <c r="AB77" i="8" s="1"/>
  <c r="AD77" i="8"/>
  <c r="CL77" i="8"/>
  <c r="AE77" i="8"/>
  <c r="CK77" i="8" s="1"/>
  <c r="Y78" i="8"/>
  <c r="CJ78" i="8" s="1"/>
  <c r="Z78" i="8"/>
  <c r="AD78" i="8"/>
  <c r="CL78" i="8" s="1"/>
  <c r="AE78" i="8"/>
  <c r="AG78" i="8" s="1"/>
  <c r="Y79" i="8"/>
  <c r="AA79" i="8" s="1"/>
  <c r="Z79" i="8"/>
  <c r="BM79" i="8" s="1"/>
  <c r="AD79" i="8"/>
  <c r="AF79" i="8" s="1"/>
  <c r="AE79" i="8"/>
  <c r="AG79" i="8" s="1"/>
  <c r="Y88" i="8"/>
  <c r="AA88" i="8" s="1"/>
  <c r="Z88" i="8"/>
  <c r="AD88" i="8"/>
  <c r="AE88" i="8"/>
  <c r="Y89" i="8"/>
  <c r="AA89" i="8" s="1"/>
  <c r="Z89" i="8"/>
  <c r="AB89" i="8" s="1"/>
  <c r="AC89" i="8" s="1"/>
  <c r="AD89" i="8"/>
  <c r="CL89" i="8" s="1"/>
  <c r="AE89" i="8"/>
  <c r="AG89" i="8" s="1"/>
  <c r="AA90" i="8"/>
  <c r="AB90" i="8"/>
  <c r="AF90" i="8"/>
  <c r="AG90" i="8"/>
  <c r="AF24" i="8"/>
  <c r="AG24" i="8"/>
  <c r="AF25" i="8"/>
  <c r="AG25" i="8"/>
  <c r="AF27" i="8"/>
  <c r="AG27" i="8"/>
  <c r="AW9" i="8"/>
  <c r="BG9" i="8" s="1"/>
  <c r="AV9" i="8"/>
  <c r="BF9" i="8" s="1"/>
  <c r="AU9" i="8"/>
  <c r="AX9" i="8" s="1"/>
  <c r="BH9" i="8" s="1"/>
  <c r="AX57" i="8"/>
  <c r="BH57" i="8" s="1"/>
  <c r="AV11" i="8"/>
  <c r="BF11" i="8" s="1"/>
  <c r="AW11" i="8"/>
  <c r="BG11" i="8" s="1"/>
  <c r="AV24" i="8"/>
  <c r="BF24" i="8" s="1"/>
  <c r="AW24" i="8"/>
  <c r="BG24" i="8" s="1"/>
  <c r="AV25" i="8"/>
  <c r="BF25" i="8" s="1"/>
  <c r="AW25" i="8"/>
  <c r="BG25" i="8" s="1"/>
  <c r="AV27" i="8"/>
  <c r="BF27" i="8" s="1"/>
  <c r="CI27" i="8" s="1"/>
  <c r="AW27" i="8"/>
  <c r="BG27" i="8" s="1"/>
  <c r="AV28" i="8"/>
  <c r="BF28" i="8" s="1"/>
  <c r="AW28" i="8"/>
  <c r="BG28" i="8" s="1"/>
  <c r="AV33" i="8"/>
  <c r="BF33" i="8"/>
  <c r="AW33" i="8"/>
  <c r="BG33" i="8" s="1"/>
  <c r="CL33" i="8" s="1"/>
  <c r="AV34" i="8"/>
  <c r="BF34" i="8" s="1"/>
  <c r="AW34" i="8"/>
  <c r="BG34" i="8" s="1"/>
  <c r="AV35" i="8"/>
  <c r="BF35" i="8" s="1"/>
  <c r="AW35" i="8"/>
  <c r="BG35" i="8" s="1"/>
  <c r="AV36" i="8"/>
  <c r="BF36" i="8" s="1"/>
  <c r="AW36" i="8"/>
  <c r="BG36" i="8" s="1"/>
  <c r="CL36" i="8" s="1"/>
  <c r="AV37" i="8"/>
  <c r="BF37" i="8" s="1"/>
  <c r="AW37" i="8"/>
  <c r="BG37" i="8" s="1"/>
  <c r="AV39" i="8"/>
  <c r="BF39" i="8" s="1"/>
  <c r="AV40" i="8"/>
  <c r="BF40" i="8" s="1"/>
  <c r="AW40" i="8"/>
  <c r="BG40" i="8" s="1"/>
  <c r="AV41" i="8"/>
  <c r="BF41" i="8" s="1"/>
  <c r="AW41" i="8"/>
  <c r="BG41" i="8" s="1"/>
  <c r="AV42" i="8"/>
  <c r="BF42" i="8" s="1"/>
  <c r="AW42" i="8"/>
  <c r="BG42" i="8" s="1"/>
  <c r="AV43" i="8"/>
  <c r="BF43" i="8"/>
  <c r="AW43" i="8"/>
  <c r="BG43" i="8" s="1"/>
  <c r="AV44" i="8"/>
  <c r="BF44" i="8" s="1"/>
  <c r="AW44" i="8"/>
  <c r="BG44" i="8" s="1"/>
  <c r="AV45" i="8"/>
  <c r="BF45" i="8" s="1"/>
  <c r="AW45" i="8"/>
  <c r="BG45" i="8" s="1"/>
  <c r="CL45" i="8" s="1"/>
  <c r="AV46" i="8"/>
  <c r="BF46" i="8" s="1"/>
  <c r="AW46" i="8"/>
  <c r="BG46" i="8"/>
  <c r="AV48" i="8"/>
  <c r="BF48" i="8" s="1"/>
  <c r="AW48" i="8"/>
  <c r="BG48" i="8" s="1"/>
  <c r="AV49" i="8"/>
  <c r="BF49" i="8" s="1"/>
  <c r="AW49" i="8"/>
  <c r="BG49" i="8"/>
  <c r="AV50" i="8"/>
  <c r="BF50" i="8" s="1"/>
  <c r="AW50" i="8"/>
  <c r="BG50" i="8" s="1"/>
  <c r="AV51" i="8"/>
  <c r="BF51" i="8" s="1"/>
  <c r="AW51" i="8"/>
  <c r="BG51" i="8" s="1"/>
  <c r="CJ51" i="8" s="1"/>
  <c r="AV52" i="8"/>
  <c r="BF52" i="8"/>
  <c r="AW52" i="8"/>
  <c r="BG52" i="8" s="1"/>
  <c r="AV53" i="8"/>
  <c r="BF53" i="8" s="1"/>
  <c r="AW53" i="8"/>
  <c r="BG53" i="8" s="1"/>
  <c r="AV54" i="8"/>
  <c r="BF54" i="8" s="1"/>
  <c r="AW54" i="8"/>
  <c r="BG54" i="8" s="1"/>
  <c r="AV55" i="8"/>
  <c r="BF55" i="8" s="1"/>
  <c r="AW55" i="8"/>
  <c r="BG55" i="8"/>
  <c r="AV62" i="8"/>
  <c r="BF62" i="8" s="1"/>
  <c r="AW62" i="8"/>
  <c r="BG62" i="8" s="1"/>
  <c r="AV63" i="8"/>
  <c r="BF63" i="8" s="1"/>
  <c r="AW63" i="8"/>
  <c r="BG63" i="8" s="1"/>
  <c r="AV64" i="8"/>
  <c r="BF64" i="8"/>
  <c r="AW64" i="8"/>
  <c r="BG64" i="8" s="1"/>
  <c r="AV65" i="8"/>
  <c r="BF65" i="8" s="1"/>
  <c r="AW65" i="8"/>
  <c r="BG65" i="8" s="1"/>
  <c r="AV66" i="8"/>
  <c r="BF66" i="8"/>
  <c r="AW66" i="8"/>
  <c r="BG66" i="8" s="1"/>
  <c r="AV67" i="8"/>
  <c r="BF67" i="8" s="1"/>
  <c r="AW67" i="8"/>
  <c r="BG67" i="8" s="1"/>
  <c r="AV68" i="8"/>
  <c r="BF68" i="8" s="1"/>
  <c r="AW68" i="8"/>
  <c r="BG68" i="8" s="1"/>
  <c r="AV69" i="8"/>
  <c r="BF69" i="8" s="1"/>
  <c r="AW69" i="8"/>
  <c r="BG69" i="8" s="1"/>
  <c r="AV70" i="8"/>
  <c r="BF70" i="8" s="1"/>
  <c r="AW70" i="8"/>
  <c r="BG70" i="8" s="1"/>
  <c r="AV71" i="8"/>
  <c r="BF71" i="8" s="1"/>
  <c r="AW71" i="8"/>
  <c r="BG71" i="8" s="1"/>
  <c r="AV72" i="8"/>
  <c r="BF72" i="8" s="1"/>
  <c r="AW72" i="8"/>
  <c r="BG72" i="8" s="1"/>
  <c r="AV73" i="8"/>
  <c r="BF73" i="8" s="1"/>
  <c r="AW73" i="8"/>
  <c r="BG73" i="8" s="1"/>
  <c r="AV74" i="8"/>
  <c r="BF74" i="8" s="1"/>
  <c r="AW74" i="8"/>
  <c r="BG74" i="8" s="1"/>
  <c r="AV75" i="8"/>
  <c r="AW75" i="8"/>
  <c r="AV76" i="8"/>
  <c r="AW76" i="8"/>
  <c r="AV77" i="8"/>
  <c r="BF77" i="8" s="1"/>
  <c r="AW77" i="8"/>
  <c r="BG77" i="8" s="1"/>
  <c r="AV78" i="8"/>
  <c r="BF78" i="8" s="1"/>
  <c r="AW78" i="8"/>
  <c r="BG78" i="8" s="1"/>
  <c r="AV79" i="8"/>
  <c r="BF79" i="8" s="1"/>
  <c r="AW79" i="8"/>
  <c r="BG79" i="8" s="1"/>
  <c r="AV82" i="8"/>
  <c r="BF82" i="8" s="1"/>
  <c r="AW82" i="8"/>
  <c r="BG82" i="8" s="1"/>
  <c r="AV83" i="8"/>
  <c r="BF83" i="8" s="1"/>
  <c r="AW83" i="8"/>
  <c r="BG83" i="8" s="1"/>
  <c r="AV84" i="8"/>
  <c r="BF84" i="8" s="1"/>
  <c r="AW84" i="8"/>
  <c r="BG84" i="8" s="1"/>
  <c r="AV85" i="8"/>
  <c r="BF85" i="8" s="1"/>
  <c r="AW85" i="8"/>
  <c r="BG85" i="8" s="1"/>
  <c r="AV86" i="8"/>
  <c r="BF86" i="8" s="1"/>
  <c r="AW86" i="8"/>
  <c r="BG86" i="8" s="1"/>
  <c r="AV87" i="8"/>
  <c r="BF87" i="8" s="1"/>
  <c r="AW87" i="8"/>
  <c r="BG87" i="8" s="1"/>
  <c r="AV88" i="8"/>
  <c r="BF88" i="8" s="1"/>
  <c r="AW88" i="8"/>
  <c r="BG88" i="8" s="1"/>
  <c r="AV89" i="8"/>
  <c r="BF89" i="8" s="1"/>
  <c r="AW89" i="8"/>
  <c r="BG89" i="8" s="1"/>
  <c r="AV90" i="8"/>
  <c r="BF90" i="8" s="1"/>
  <c r="AW90" i="8"/>
  <c r="BG90" i="8" s="1"/>
  <c r="AV91" i="8"/>
  <c r="BF91" i="8" s="1"/>
  <c r="AW91" i="8"/>
  <c r="BG91" i="8" s="1"/>
  <c r="AV92" i="8"/>
  <c r="BF92" i="8" s="1"/>
  <c r="AW92" i="8"/>
  <c r="BG92" i="8" s="1"/>
  <c r="AV93" i="8"/>
  <c r="AW93" i="8"/>
  <c r="BG93" i="8" s="1"/>
  <c r="AV94" i="8"/>
  <c r="BF94" i="8" s="1"/>
  <c r="AW94" i="8"/>
  <c r="BG94" i="8" s="1"/>
  <c r="AV95" i="8"/>
  <c r="BF95" i="8" s="1"/>
  <c r="AW95" i="8"/>
  <c r="BG95" i="8" s="1"/>
  <c r="AV96" i="8"/>
  <c r="BF96" i="8" s="1"/>
  <c r="AW96" i="8"/>
  <c r="BG96" i="8" s="1"/>
  <c r="AV97" i="8"/>
  <c r="BF97" i="8" s="1"/>
  <c r="AW97" i="8"/>
  <c r="BG97" i="8" s="1"/>
  <c r="AV98" i="8"/>
  <c r="BF98" i="8" s="1"/>
  <c r="AW98" i="8"/>
  <c r="BG98" i="8" s="1"/>
  <c r="AV99" i="8"/>
  <c r="BF99" i="8" s="1"/>
  <c r="AW99" i="8"/>
  <c r="BG99" i="8" s="1"/>
  <c r="AW10" i="8"/>
  <c r="BG10" i="8" s="1"/>
  <c r="AV10" i="8"/>
  <c r="BF10" i="8" s="1"/>
  <c r="AU99" i="8"/>
  <c r="AX99" i="8" s="1"/>
  <c r="BH99" i="8" s="1"/>
  <c r="AU98" i="8"/>
  <c r="AX98" i="8" s="1"/>
  <c r="BH98" i="8" s="1"/>
  <c r="AU97" i="8"/>
  <c r="AX97" i="8" s="1"/>
  <c r="BH97" i="8" s="1"/>
  <c r="AU96" i="8"/>
  <c r="AX96" i="8"/>
  <c r="BH96" i="8" s="1"/>
  <c r="AU95" i="8"/>
  <c r="AX95" i="8" s="1"/>
  <c r="BH95" i="8" s="1"/>
  <c r="AU94" i="8"/>
  <c r="AX94" i="8" s="1"/>
  <c r="BH94" i="8" s="1"/>
  <c r="AU93" i="8"/>
  <c r="AX93" i="8" s="1"/>
  <c r="BH93" i="8" s="1"/>
  <c r="AU92" i="8"/>
  <c r="AX92" i="8" s="1"/>
  <c r="BH92" i="8" s="1"/>
  <c r="AU91" i="8"/>
  <c r="AX91" i="8" s="1"/>
  <c r="BH91" i="8" s="1"/>
  <c r="AU90" i="8"/>
  <c r="AX90" i="8" s="1"/>
  <c r="BH90" i="8" s="1"/>
  <c r="AU89" i="8"/>
  <c r="AX89" i="8" s="1"/>
  <c r="BH89" i="8" s="1"/>
  <c r="AU88" i="8"/>
  <c r="AX88" i="8" s="1"/>
  <c r="BH88" i="8" s="1"/>
  <c r="AU87" i="8"/>
  <c r="AX87" i="8" s="1"/>
  <c r="BH87" i="8" s="1"/>
  <c r="AU86" i="8"/>
  <c r="AX86" i="8" s="1"/>
  <c r="BH86" i="8" s="1"/>
  <c r="AU85" i="8"/>
  <c r="AX85" i="8" s="1"/>
  <c r="BH85" i="8" s="1"/>
  <c r="AU84" i="8"/>
  <c r="AX84" i="8" s="1"/>
  <c r="BH84" i="8" s="1"/>
  <c r="AU83" i="8"/>
  <c r="AX83" i="8" s="1"/>
  <c r="BH83" i="8" s="1"/>
  <c r="AU82" i="8"/>
  <c r="AX82" i="8" s="1"/>
  <c r="BH82" i="8" s="1"/>
  <c r="AU79" i="8"/>
  <c r="AX79" i="8"/>
  <c r="BH79" i="8" s="1"/>
  <c r="AU78" i="8"/>
  <c r="AX78" i="8" s="1"/>
  <c r="BH78" i="8" s="1"/>
  <c r="AU77" i="8"/>
  <c r="AX77" i="8" s="1"/>
  <c r="BH77" i="8" s="1"/>
  <c r="AU76" i="8"/>
  <c r="AX76" i="8" s="1"/>
  <c r="BH76" i="8" s="1"/>
  <c r="AU75" i="8"/>
  <c r="AX75" i="8" s="1"/>
  <c r="BH75" i="8" s="1"/>
  <c r="AU74" i="8"/>
  <c r="AX74" i="8" s="1"/>
  <c r="BH74" i="8" s="1"/>
  <c r="AU73" i="8"/>
  <c r="AX73" i="8" s="1"/>
  <c r="BH73" i="8" s="1"/>
  <c r="AU72" i="8"/>
  <c r="AX72" i="8" s="1"/>
  <c r="BH72" i="8" s="1"/>
  <c r="AU70" i="8"/>
  <c r="AX70" i="8" s="1"/>
  <c r="BH70" i="8" s="1"/>
  <c r="AU69" i="8"/>
  <c r="AX69" i="8" s="1"/>
  <c r="BH69" i="8" s="1"/>
  <c r="AU68" i="8"/>
  <c r="AX68" i="8" s="1"/>
  <c r="BH68" i="8" s="1"/>
  <c r="AU67" i="8"/>
  <c r="AX67" i="8" s="1"/>
  <c r="BH67" i="8" s="1"/>
  <c r="AU66" i="8"/>
  <c r="AX66" i="8" s="1"/>
  <c r="BH66" i="8" s="1"/>
  <c r="AU65" i="8"/>
  <c r="AX65" i="8" s="1"/>
  <c r="BH65" i="8" s="1"/>
  <c r="AU64" i="8"/>
  <c r="AX64" i="8" s="1"/>
  <c r="BH64" i="8" s="1"/>
  <c r="AU63" i="8"/>
  <c r="AX63" i="8" s="1"/>
  <c r="BH63" i="8" s="1"/>
  <c r="AU62" i="8"/>
  <c r="AX62" i="8" s="1"/>
  <c r="BH62" i="8" s="1"/>
  <c r="AU55" i="8"/>
  <c r="AX55" i="8" s="1"/>
  <c r="BH55" i="8" s="1"/>
  <c r="AU54" i="8"/>
  <c r="AX54" i="8" s="1"/>
  <c r="BH54" i="8" s="1"/>
  <c r="AU53" i="8"/>
  <c r="AX53" i="8" s="1"/>
  <c r="BH53" i="8" s="1"/>
  <c r="AU52" i="8"/>
  <c r="AX52" i="8" s="1"/>
  <c r="BH52" i="8" s="1"/>
  <c r="AX51" i="8"/>
  <c r="BH51" i="8" s="1"/>
  <c r="AU50" i="8"/>
  <c r="AX50" i="8" s="1"/>
  <c r="BH50" i="8" s="1"/>
  <c r="AU49" i="8"/>
  <c r="AX49" i="8" s="1"/>
  <c r="BH49" i="8" s="1"/>
  <c r="AU48" i="8"/>
  <c r="AX48" i="8" s="1"/>
  <c r="BH48" i="8" s="1"/>
  <c r="AU46" i="8"/>
  <c r="AX46" i="8" s="1"/>
  <c r="BH46" i="8" s="1"/>
  <c r="AU45" i="8"/>
  <c r="AX45" i="8" s="1"/>
  <c r="BH45" i="8" s="1"/>
  <c r="AU44" i="8"/>
  <c r="AX44" i="8" s="1"/>
  <c r="BH44" i="8" s="1"/>
  <c r="AU43" i="8"/>
  <c r="AX43" i="8" s="1"/>
  <c r="BH43" i="8" s="1"/>
  <c r="AU42" i="8"/>
  <c r="AX42" i="8" s="1"/>
  <c r="BH42" i="8" s="1"/>
  <c r="AU41" i="8"/>
  <c r="AX41" i="8" s="1"/>
  <c r="BH41" i="8" s="1"/>
  <c r="AU40" i="8"/>
  <c r="AX40" i="8" s="1"/>
  <c r="BH40" i="8" s="1"/>
  <c r="AU39" i="8"/>
  <c r="AX39" i="8" s="1"/>
  <c r="BH39" i="8" s="1"/>
  <c r="AU37" i="8"/>
  <c r="AX37" i="8" s="1"/>
  <c r="BH37" i="8" s="1"/>
  <c r="AU36" i="8"/>
  <c r="AX36" i="8" s="1"/>
  <c r="BH36" i="8" s="1"/>
  <c r="AU35" i="8"/>
  <c r="AX35" i="8"/>
  <c r="BH35" i="8" s="1"/>
  <c r="AU34" i="8"/>
  <c r="AX34" i="8" s="1"/>
  <c r="BH34" i="8" s="1"/>
  <c r="AU33" i="8"/>
  <c r="AX33" i="8" s="1"/>
  <c r="BH33" i="8" s="1"/>
  <c r="AU28" i="8"/>
  <c r="AX28" i="8" s="1"/>
  <c r="BH28" i="8" s="1"/>
  <c r="AU27" i="8"/>
  <c r="AX27" i="8" s="1"/>
  <c r="BH27" i="8" s="1"/>
  <c r="BX27" i="8" s="1"/>
  <c r="AU25" i="8"/>
  <c r="AX25" i="8" s="1"/>
  <c r="BH25" i="8" s="1"/>
  <c r="AU24" i="8"/>
  <c r="AX24" i="8" s="1"/>
  <c r="BH24" i="8" s="1"/>
  <c r="AU11" i="8"/>
  <c r="AX11" i="8" s="1"/>
  <c r="BH11" i="8" s="1"/>
  <c r="AU10" i="8"/>
  <c r="AX10" i="8" s="1"/>
  <c r="BH10" i="8" s="1"/>
  <c r="AK10" i="8"/>
  <c r="AL10" i="8"/>
  <c r="AK11" i="8"/>
  <c r="AP11" i="8" s="1"/>
  <c r="BC11" i="8" s="1"/>
  <c r="AL11" i="8"/>
  <c r="AQ11" i="8" s="1"/>
  <c r="BD11" i="8" s="1"/>
  <c r="AK24" i="8"/>
  <c r="AP24" i="8" s="1"/>
  <c r="BC24" i="8" s="1"/>
  <c r="AL24" i="8"/>
  <c r="AQ24" i="8" s="1"/>
  <c r="BD24" i="8" s="1"/>
  <c r="AK25" i="8"/>
  <c r="AP25" i="8" s="1"/>
  <c r="BC25" i="8" s="1"/>
  <c r="AL25" i="8"/>
  <c r="AQ25" i="8" s="1"/>
  <c r="BD25" i="8" s="1"/>
  <c r="AK27" i="8"/>
  <c r="AP27" i="8" s="1"/>
  <c r="BC27" i="8" s="1"/>
  <c r="AL27" i="8"/>
  <c r="AQ27" i="8" s="1"/>
  <c r="BD27" i="8" s="1"/>
  <c r="AK28" i="8"/>
  <c r="AL28" i="8"/>
  <c r="AK33" i="8"/>
  <c r="AP33" i="8" s="1"/>
  <c r="BC33" i="8" s="1"/>
  <c r="AL33" i="8"/>
  <c r="AK34" i="8"/>
  <c r="AP34" i="8" s="1"/>
  <c r="AL34" i="8"/>
  <c r="AQ34" i="8" s="1"/>
  <c r="BD34" i="8" s="1"/>
  <c r="AK35" i="8"/>
  <c r="AP35" i="8" s="1"/>
  <c r="BC35" i="8" s="1"/>
  <c r="AL35" i="8"/>
  <c r="AQ35" i="8" s="1"/>
  <c r="AK36" i="8"/>
  <c r="AP36" i="8"/>
  <c r="BC36" i="8" s="1"/>
  <c r="CI36" i="8" s="1"/>
  <c r="AL36" i="8"/>
  <c r="AQ36" i="8" s="1"/>
  <c r="AK37" i="8"/>
  <c r="AP37" i="8"/>
  <c r="AL37" i="8"/>
  <c r="AQ37" i="8" s="1"/>
  <c r="AK39" i="8"/>
  <c r="AP39" i="8" s="1"/>
  <c r="BC39" i="8" s="1"/>
  <c r="AL39" i="8"/>
  <c r="AQ39" i="8" s="1"/>
  <c r="AK40" i="8"/>
  <c r="AP40" i="8" s="1"/>
  <c r="AL40" i="8"/>
  <c r="AQ40" i="8" s="1"/>
  <c r="BD40" i="8" s="1"/>
  <c r="AK41" i="8"/>
  <c r="AP41" i="8" s="1"/>
  <c r="AL41" i="8"/>
  <c r="AQ41" i="8" s="1"/>
  <c r="BD41" i="8" s="1"/>
  <c r="AK42" i="8"/>
  <c r="AP42" i="8" s="1"/>
  <c r="AL42" i="8"/>
  <c r="AQ42" i="8" s="1"/>
  <c r="BD42" i="8" s="1"/>
  <c r="AK43" i="8"/>
  <c r="AP43" i="8" s="1"/>
  <c r="BC43" i="8" s="1"/>
  <c r="CI43" i="8" s="1"/>
  <c r="AL43" i="8"/>
  <c r="AQ43" i="8" s="1"/>
  <c r="BD43" i="8" s="1"/>
  <c r="AK44" i="8"/>
  <c r="AP44" i="8" s="1"/>
  <c r="BC44" i="8" s="1"/>
  <c r="CI44" i="8" s="1"/>
  <c r="AL44" i="8"/>
  <c r="AQ44" i="8" s="1"/>
  <c r="BD44" i="8" s="1"/>
  <c r="AK45" i="8"/>
  <c r="AP45" i="8" s="1"/>
  <c r="AL45" i="8"/>
  <c r="AQ45" i="8" s="1"/>
  <c r="BD45" i="8" s="1"/>
  <c r="AK46" i="8"/>
  <c r="AP46" i="8" s="1"/>
  <c r="AL46" i="8"/>
  <c r="AQ46" i="8" s="1"/>
  <c r="AK48" i="8"/>
  <c r="AP48" i="8" s="1"/>
  <c r="BC48" i="8" s="1"/>
  <c r="AL48" i="8"/>
  <c r="AQ48" i="8" s="1"/>
  <c r="BD48" i="8" s="1"/>
  <c r="AK49" i="8"/>
  <c r="AP49" i="8" s="1"/>
  <c r="BC49" i="8" s="1"/>
  <c r="AL49" i="8"/>
  <c r="AK50" i="8"/>
  <c r="AL50" i="8"/>
  <c r="AK51" i="8"/>
  <c r="AP51" i="8" s="1"/>
  <c r="BC51" i="8" s="1"/>
  <c r="CI51" i="8" s="1"/>
  <c r="AL51" i="8"/>
  <c r="AQ51" i="8" s="1"/>
  <c r="BD51" i="8" s="1"/>
  <c r="AK52" i="8"/>
  <c r="AP52" i="8" s="1"/>
  <c r="BC52" i="8" s="1"/>
  <c r="AL52" i="8"/>
  <c r="AQ52" i="8" s="1"/>
  <c r="BD52" i="8" s="1"/>
  <c r="CJ52" i="8" s="1"/>
  <c r="AK53" i="8"/>
  <c r="AP53" i="8" s="1"/>
  <c r="AL53" i="8"/>
  <c r="AQ53" i="8" s="1"/>
  <c r="AK54" i="8"/>
  <c r="AP54" i="8"/>
  <c r="AL54" i="8"/>
  <c r="AQ54" i="8" s="1"/>
  <c r="BD54" i="8" s="1"/>
  <c r="AK55" i="8"/>
  <c r="AP55" i="8" s="1"/>
  <c r="AL55" i="8"/>
  <c r="AQ55" i="8" s="1"/>
  <c r="BD55" i="8" s="1"/>
  <c r="AK62" i="8"/>
  <c r="AP62" i="8" s="1"/>
  <c r="BC62" i="8" s="1"/>
  <c r="AL62" i="8"/>
  <c r="AQ62" i="8" s="1"/>
  <c r="AK63" i="8"/>
  <c r="AP63" i="8" s="1"/>
  <c r="AL63" i="8"/>
  <c r="AQ63" i="8" s="1"/>
  <c r="BD63" i="8" s="1"/>
  <c r="AK64" i="8"/>
  <c r="AP64" i="8" s="1"/>
  <c r="AL64" i="8"/>
  <c r="AQ64" i="8" s="1"/>
  <c r="AK65" i="8"/>
  <c r="AP65" i="8"/>
  <c r="BC65" i="8" s="1"/>
  <c r="AL65" i="8"/>
  <c r="AQ65" i="8" s="1"/>
  <c r="AK66" i="8"/>
  <c r="AP66" i="8" s="1"/>
  <c r="AL66" i="8"/>
  <c r="AQ66" i="8" s="1"/>
  <c r="BD66" i="8" s="1"/>
  <c r="AK67" i="8"/>
  <c r="AP67" i="8" s="1"/>
  <c r="AL67" i="8"/>
  <c r="AQ67" i="8" s="1"/>
  <c r="AK68" i="8"/>
  <c r="AP68" i="8" s="1"/>
  <c r="BC68" i="8" s="1"/>
  <c r="AL68" i="8"/>
  <c r="AQ68" i="8" s="1"/>
  <c r="BD68" i="8" s="1"/>
  <c r="AK69" i="8"/>
  <c r="AP69" i="8" s="1"/>
  <c r="AL69" i="8"/>
  <c r="AQ69" i="8" s="1"/>
  <c r="BD69" i="8" s="1"/>
  <c r="AK70" i="8"/>
  <c r="AP70" i="8" s="1"/>
  <c r="BC70" i="8" s="1"/>
  <c r="AL70" i="8"/>
  <c r="AQ70" i="8" s="1"/>
  <c r="BD70" i="8" s="1"/>
  <c r="AK71" i="8"/>
  <c r="AP71" i="8" s="1"/>
  <c r="BC71" i="8" s="1"/>
  <c r="AL71" i="8"/>
  <c r="AQ71" i="8" s="1"/>
  <c r="AK72" i="8"/>
  <c r="AP72" i="8" s="1"/>
  <c r="BC72" i="8" s="1"/>
  <c r="AL72" i="8"/>
  <c r="AQ72" i="8" s="1"/>
  <c r="BD72" i="8" s="1"/>
  <c r="AK73" i="8"/>
  <c r="AL73" i="8"/>
  <c r="AK74" i="8"/>
  <c r="AL74" i="8"/>
  <c r="AK75" i="8"/>
  <c r="AL75" i="8"/>
  <c r="AK76" i="8"/>
  <c r="AL76" i="8"/>
  <c r="AK77" i="8"/>
  <c r="AP77" i="8" s="1"/>
  <c r="AL77" i="8"/>
  <c r="AQ77" i="8" s="1"/>
  <c r="BD77" i="8" s="1"/>
  <c r="AK78" i="8"/>
  <c r="AP78" i="8" s="1"/>
  <c r="AL78" i="8"/>
  <c r="AQ78" i="8" s="1"/>
  <c r="AK79" i="8"/>
  <c r="AP79" i="8" s="1"/>
  <c r="BC79" i="8" s="1"/>
  <c r="AL79" i="8"/>
  <c r="AQ79" i="8" s="1"/>
  <c r="BD79" i="8" s="1"/>
  <c r="AK82" i="8"/>
  <c r="AP82" i="8" s="1"/>
  <c r="AL82" i="8"/>
  <c r="AQ82" i="8" s="1"/>
  <c r="BD82" i="8" s="1"/>
  <c r="AK83" i="8"/>
  <c r="AP83" i="8" s="1"/>
  <c r="BC83" i="8" s="1"/>
  <c r="AL83" i="8"/>
  <c r="AQ83" i="8" s="1"/>
  <c r="BD83" i="8" s="1"/>
  <c r="AK84" i="8"/>
  <c r="AP84" i="8" s="1"/>
  <c r="BC84" i="8" s="1"/>
  <c r="AL84" i="8"/>
  <c r="AQ84" i="8" s="1"/>
  <c r="BD84" i="8" s="1"/>
  <c r="AK85" i="8"/>
  <c r="AP85" i="8" s="1"/>
  <c r="AL85" i="8"/>
  <c r="AQ85" i="8" s="1"/>
  <c r="BD85" i="8" s="1"/>
  <c r="AK86" i="8"/>
  <c r="AP86" i="8" s="1"/>
  <c r="AL86" i="8"/>
  <c r="AQ86" i="8" s="1"/>
  <c r="AK87" i="8"/>
  <c r="AP87" i="8" s="1"/>
  <c r="BC87" i="8" s="1"/>
  <c r="AL87" i="8"/>
  <c r="AQ87" i="8" s="1"/>
  <c r="AK88" i="8"/>
  <c r="AP88" i="8" s="1"/>
  <c r="BC88" i="8" s="1"/>
  <c r="AL88" i="8"/>
  <c r="AQ88" i="8" s="1"/>
  <c r="BD88" i="8" s="1"/>
  <c r="AK89" i="8"/>
  <c r="AP89" i="8" s="1"/>
  <c r="AL89" i="8"/>
  <c r="AQ89" i="8" s="1"/>
  <c r="BD89" i="8" s="1"/>
  <c r="AK90" i="8"/>
  <c r="AP90" i="8" s="1"/>
  <c r="AL90" i="8"/>
  <c r="AQ90" i="8" s="1"/>
  <c r="BD90" i="8" s="1"/>
  <c r="AK91" i="8"/>
  <c r="AP91" i="8" s="1"/>
  <c r="AL91" i="8"/>
  <c r="AQ91" i="8" s="1"/>
  <c r="BD91" i="8" s="1"/>
  <c r="AK92" i="8"/>
  <c r="AP92" i="8" s="1"/>
  <c r="BC92" i="8" s="1"/>
  <c r="AL92" i="8"/>
  <c r="AQ92" i="8" s="1"/>
  <c r="BD92" i="8" s="1"/>
  <c r="AK93" i="8"/>
  <c r="AP93" i="8" s="1"/>
  <c r="BC93" i="8" s="1"/>
  <c r="AL93" i="8"/>
  <c r="AQ93" i="8" s="1"/>
  <c r="AK94" i="8"/>
  <c r="AP94" i="8" s="1"/>
  <c r="AL94" i="8"/>
  <c r="AQ94" i="8" s="1"/>
  <c r="BD94" i="8" s="1"/>
  <c r="AK95" i="8"/>
  <c r="AP95" i="8" s="1"/>
  <c r="BC95" i="8" s="1"/>
  <c r="AL95" i="8"/>
  <c r="AQ95" i="8" s="1"/>
  <c r="AK96" i="8"/>
  <c r="AP96" i="8" s="1"/>
  <c r="AL96" i="8"/>
  <c r="AQ96" i="8" s="1"/>
  <c r="BD96" i="8" s="1"/>
  <c r="AK97" i="8"/>
  <c r="AP97" i="8" s="1"/>
  <c r="BC97" i="8" s="1"/>
  <c r="AL97" i="8"/>
  <c r="AQ97" i="8" s="1"/>
  <c r="BD97" i="8" s="1"/>
  <c r="AK98" i="8"/>
  <c r="AP98" i="8" s="1"/>
  <c r="AL98" i="8"/>
  <c r="AQ98" i="8" s="1"/>
  <c r="BD98" i="8" s="1"/>
  <c r="AK99" i="8"/>
  <c r="AP99" i="8" s="1"/>
  <c r="BC99" i="8" s="1"/>
  <c r="AL99" i="8"/>
  <c r="AQ99" i="8" s="1"/>
  <c r="AL9" i="8"/>
  <c r="AQ9" i="8" s="1"/>
  <c r="BD9" i="8" s="1"/>
  <c r="AK9" i="8"/>
  <c r="AP9" i="8" s="1"/>
  <c r="AJ99" i="8"/>
  <c r="AM99" i="8" s="1"/>
  <c r="AJ98" i="8"/>
  <c r="AM98" i="8" s="1"/>
  <c r="AJ97" i="8"/>
  <c r="AM97" i="8" s="1"/>
  <c r="AJ96" i="8"/>
  <c r="AM96" i="8" s="1"/>
  <c r="AJ95" i="8"/>
  <c r="AM95" i="8" s="1"/>
  <c r="AJ94" i="8"/>
  <c r="AM94" i="8" s="1"/>
  <c r="AJ93" i="8"/>
  <c r="AM93" i="8" s="1"/>
  <c r="AJ92" i="8"/>
  <c r="AM92" i="8" s="1"/>
  <c r="AJ91" i="8"/>
  <c r="AM91" i="8" s="1"/>
  <c r="AJ90" i="8"/>
  <c r="AM90" i="8" s="1"/>
  <c r="AJ89" i="8"/>
  <c r="AM89" i="8" s="1"/>
  <c r="AJ88" i="8"/>
  <c r="AM88" i="8" s="1"/>
  <c r="AJ87" i="8"/>
  <c r="AM87" i="8" s="1"/>
  <c r="AJ86" i="8"/>
  <c r="AM86" i="8" s="1"/>
  <c r="AJ85" i="8"/>
  <c r="AM85" i="8" s="1"/>
  <c r="AJ84" i="8"/>
  <c r="AM84" i="8" s="1"/>
  <c r="AJ83" i="8"/>
  <c r="AM83" i="8" s="1"/>
  <c r="AJ82" i="8"/>
  <c r="AM82" i="8" s="1"/>
  <c r="AJ79" i="8"/>
  <c r="AM79" i="8" s="1"/>
  <c r="AJ78" i="8"/>
  <c r="AM78" i="8" s="1"/>
  <c r="AJ77" i="8"/>
  <c r="AM77" i="8" s="1"/>
  <c r="AJ76" i="8"/>
  <c r="AM76" i="8" s="1"/>
  <c r="AJ75" i="8"/>
  <c r="AM75" i="8" s="1"/>
  <c r="AJ74" i="8"/>
  <c r="AM74" i="8" s="1"/>
  <c r="AJ73" i="8"/>
  <c r="AM73" i="8" s="1"/>
  <c r="AJ72" i="8"/>
  <c r="AM72" i="8" s="1"/>
  <c r="AJ71" i="8"/>
  <c r="AM71" i="8" s="1"/>
  <c r="AJ70" i="8"/>
  <c r="AM70" i="8" s="1"/>
  <c r="AJ69" i="8"/>
  <c r="AM69" i="8" s="1"/>
  <c r="AJ68" i="8"/>
  <c r="AM68" i="8" s="1"/>
  <c r="AJ67" i="8"/>
  <c r="AM67" i="8" s="1"/>
  <c r="AJ66" i="8"/>
  <c r="AM66" i="8" s="1"/>
  <c r="AJ65" i="8"/>
  <c r="AM65" i="8" s="1"/>
  <c r="AJ64" i="8"/>
  <c r="AM64" i="8" s="1"/>
  <c r="AJ63" i="8"/>
  <c r="AM63" i="8" s="1"/>
  <c r="AJ62" i="8"/>
  <c r="AM62" i="8" s="1"/>
  <c r="AM59" i="8"/>
  <c r="AM56" i="8"/>
  <c r="AJ55" i="8"/>
  <c r="AM55" i="8" s="1"/>
  <c r="AJ54" i="8"/>
  <c r="AM54" i="8"/>
  <c r="AJ53" i="8"/>
  <c r="AM53" i="8" s="1"/>
  <c r="AJ52" i="8"/>
  <c r="AM52" i="8" s="1"/>
  <c r="AJ51" i="8"/>
  <c r="AM51" i="8" s="1"/>
  <c r="AJ50" i="8"/>
  <c r="AM50" i="8" s="1"/>
  <c r="AJ49" i="8"/>
  <c r="AM49" i="8" s="1"/>
  <c r="AJ48" i="8"/>
  <c r="AM48" i="8" s="1"/>
  <c r="AJ46" i="8"/>
  <c r="AM46" i="8" s="1"/>
  <c r="AJ45" i="8"/>
  <c r="AM45" i="8" s="1"/>
  <c r="AJ44" i="8"/>
  <c r="AM44" i="8" s="1"/>
  <c r="AJ43" i="8"/>
  <c r="AM43" i="8" s="1"/>
  <c r="AJ42" i="8"/>
  <c r="AM42" i="8" s="1"/>
  <c r="AJ41" i="8"/>
  <c r="AM41" i="8" s="1"/>
  <c r="AJ40" i="8"/>
  <c r="AM40" i="8" s="1"/>
  <c r="AJ39" i="8"/>
  <c r="AM39" i="8" s="1"/>
  <c r="AJ37" i="8"/>
  <c r="AM37" i="8" s="1"/>
  <c r="AJ36" i="8"/>
  <c r="AM36" i="8" s="1"/>
  <c r="AJ35" i="8"/>
  <c r="AM35" i="8" s="1"/>
  <c r="AJ34" i="8"/>
  <c r="AM34" i="8" s="1"/>
  <c r="AJ33" i="8"/>
  <c r="AM33" i="8" s="1"/>
  <c r="AR31" i="8"/>
  <c r="BE31" i="8" s="1"/>
  <c r="AM29" i="8"/>
  <c r="AR29" i="8" s="1"/>
  <c r="BE29" i="8" s="1"/>
  <c r="BJ29" i="8" s="1"/>
  <c r="AJ28" i="8"/>
  <c r="AM28" i="8" s="1"/>
  <c r="AJ27" i="8"/>
  <c r="AM27" i="8" s="1"/>
  <c r="AJ25" i="8"/>
  <c r="AM25" i="8" s="1"/>
  <c r="AJ24" i="8"/>
  <c r="AM24" i="8" s="1"/>
  <c r="AJ11" i="8"/>
  <c r="AM11" i="8" s="1"/>
  <c r="AJ10" i="8"/>
  <c r="AM10" i="8" s="1"/>
  <c r="AJ9" i="8"/>
  <c r="AM9" i="8" s="1"/>
  <c r="BK42" i="8"/>
  <c r="BK43" i="8"/>
  <c r="BK44" i="8"/>
  <c r="BK49" i="8"/>
  <c r="BK51" i="8"/>
  <c r="BK54" i="8"/>
  <c r="BK55" i="8"/>
  <c r="BK56" i="8"/>
  <c r="BK57" i="8"/>
  <c r="BK58" i="8"/>
  <c r="BK59" i="8"/>
  <c r="BK60" i="8"/>
  <c r="BK61" i="8"/>
  <c r="BK62" i="8"/>
  <c r="BK63" i="8"/>
  <c r="BK64" i="8"/>
  <c r="BK65" i="8"/>
  <c r="BK66" i="8"/>
  <c r="BK67" i="8"/>
  <c r="BK68" i="8"/>
  <c r="BK69" i="8"/>
  <c r="BK70" i="8"/>
  <c r="BK71" i="8"/>
  <c r="BK72" i="8"/>
  <c r="BK75" i="8"/>
  <c r="BK76" i="8"/>
  <c r="BK77" i="8"/>
  <c r="BK78" i="8"/>
  <c r="BK79" i="8"/>
  <c r="BK82" i="8"/>
  <c r="BK83" i="8"/>
  <c r="BK84" i="8"/>
  <c r="BK85" i="8"/>
  <c r="BK86" i="8"/>
  <c r="BK87" i="8"/>
  <c r="BK88" i="8"/>
  <c r="BK89" i="8"/>
  <c r="BK90" i="8"/>
  <c r="BK91" i="8"/>
  <c r="BK92" i="8"/>
  <c r="BK93" i="8"/>
  <c r="BK94" i="8"/>
  <c r="BK95" i="8"/>
  <c r="BK96" i="8"/>
  <c r="BK97" i="8"/>
  <c r="BK98" i="8"/>
  <c r="BK99" i="8"/>
  <c r="R11" i="8"/>
  <c r="AD11" i="8" s="1"/>
  <c r="Q33" i="8"/>
  <c r="R31" i="8"/>
  <c r="R29" i="8"/>
  <c r="AD29" i="8" s="1"/>
  <c r="R27" i="8"/>
  <c r="Q27" i="8"/>
  <c r="W27" i="8" s="1"/>
  <c r="R25" i="8"/>
  <c r="Q25" i="8"/>
  <c r="R24" i="8"/>
  <c r="Q24" i="8"/>
  <c r="R28" i="8"/>
  <c r="R39" i="8"/>
  <c r="AE39" i="8" s="1"/>
  <c r="Z34" i="8"/>
  <c r="BM34" i="8" s="1"/>
  <c r="AB34" i="8"/>
  <c r="Y34" i="8"/>
  <c r="AA34" i="8" s="1"/>
  <c r="Z11" i="8"/>
  <c r="AB11" i="8" s="1"/>
  <c r="Y11" i="8"/>
  <c r="AA11" i="8" s="1"/>
  <c r="AC11" i="8" s="1"/>
  <c r="Y28" i="8"/>
  <c r="AA28" i="8"/>
  <c r="AA31" i="8"/>
  <c r="Z31" i="8"/>
  <c r="AB31" i="8" s="1"/>
  <c r="Z29" i="8"/>
  <c r="Y29" i="8"/>
  <c r="AA29" i="8" s="1"/>
  <c r="Y35" i="8"/>
  <c r="AA35" i="8" s="1"/>
  <c r="Z35" i="8"/>
  <c r="AB35" i="8" s="1"/>
  <c r="Y39" i="8"/>
  <c r="Z39" i="8"/>
  <c r="AB39" i="8" s="1"/>
  <c r="AO59" i="8"/>
  <c r="AO58" i="8"/>
  <c r="AO60" i="8"/>
  <c r="AR60" i="8" s="1"/>
  <c r="BE60" i="8" s="1"/>
  <c r="AO61" i="8"/>
  <c r="Z7" i="8"/>
  <c r="CI7" i="8" s="1"/>
  <c r="BO24" i="8"/>
  <c r="CD24" i="8" s="1"/>
  <c r="CK24" i="8"/>
  <c r="CL24" i="8"/>
  <c r="BO25" i="8"/>
  <c r="CC25" i="8" s="1"/>
  <c r="CK25" i="8"/>
  <c r="CL25" i="8"/>
  <c r="AO28" i="8"/>
  <c r="BK7" i="8"/>
  <c r="AR76" i="8"/>
  <c r="BE76" i="8" s="1"/>
  <c r="AR75" i="8"/>
  <c r="BE75" i="8" s="1"/>
  <c r="AQ33" i="8"/>
  <c r="BD33" i="8" s="1"/>
  <c r="R46" i="8"/>
  <c r="AB49" i="8"/>
  <c r="AG46" i="8"/>
  <c r="Z48" i="8"/>
  <c r="AD50" i="8"/>
  <c r="AF50" i="8" s="1"/>
  <c r="AD48" i="8"/>
  <c r="AF48" i="8" s="1"/>
  <c r="AE48" i="8"/>
  <c r="AG48" i="8" s="1"/>
  <c r="AF49" i="8"/>
  <c r="AG49" i="8"/>
  <c r="BM90" i="8"/>
  <c r="BN90" i="8" s="1"/>
  <c r="BR90" i="8" s="1"/>
  <c r="BO90" i="8"/>
  <c r="BS90" i="8"/>
  <c r="BM91" i="8"/>
  <c r="BQ91" i="8" s="1"/>
  <c r="BO91" i="8"/>
  <c r="BM92" i="8"/>
  <c r="BO92" i="8"/>
  <c r="BS92" i="8" s="1"/>
  <c r="BM93" i="8"/>
  <c r="BO93" i="8"/>
  <c r="BM94" i="8"/>
  <c r="BO94" i="8"/>
  <c r="BM95" i="8"/>
  <c r="BO95" i="8"/>
  <c r="BM96" i="8"/>
  <c r="BO96" i="8"/>
  <c r="BM97" i="8"/>
  <c r="BN97" i="8" s="1"/>
  <c r="BR97" i="8" s="1"/>
  <c r="BO97" i="8"/>
  <c r="BM98" i="8"/>
  <c r="BN98" i="8" s="1"/>
  <c r="BR98" i="8" s="1"/>
  <c r="BO98" i="8"/>
  <c r="BS98" i="8" s="1"/>
  <c r="BM99" i="8"/>
  <c r="BO99" i="8"/>
  <c r="AF46" i="8"/>
  <c r="AA48" i="8"/>
  <c r="AA49" i="8"/>
  <c r="AO73" i="8"/>
  <c r="AO74" i="8"/>
  <c r="AQ74" i="8" s="1"/>
  <c r="BD74" i="8" s="1"/>
  <c r="AO57" i="8"/>
  <c r="AO56" i="8"/>
  <c r="AO50" i="8"/>
  <c r="AO10" i="8"/>
  <c r="AQ10" i="8" s="1"/>
  <c r="BD10" i="8" s="1"/>
  <c r="P87" i="8"/>
  <c r="P86" i="8"/>
  <c r="P85" i="8"/>
  <c r="P84" i="8"/>
  <c r="P83" i="8"/>
  <c r="P82" i="8"/>
  <c r="BO46" i="8"/>
  <c r="CC46" i="8" s="1"/>
  <c r="AQ49" i="8"/>
  <c r="CK46" i="8"/>
  <c r="CK49" i="8"/>
  <c r="CI49" i="8"/>
  <c r="BO67" i="8"/>
  <c r="BP67" i="8" s="1"/>
  <c r="CJ49" i="8"/>
  <c r="CL46" i="8"/>
  <c r="CL49" i="8"/>
  <c r="CL71" i="8"/>
  <c r="CK71" i="8"/>
  <c r="CK67" i="8"/>
  <c r="R36" i="8"/>
  <c r="AD36" i="8" s="1"/>
  <c r="P36" i="8"/>
  <c r="Z36" i="8"/>
  <c r="AB36" i="8"/>
  <c r="Y36" i="8"/>
  <c r="AA36" i="8" s="1"/>
  <c r="AC36" i="8" s="1"/>
  <c r="R87" i="8"/>
  <c r="Q87" i="8"/>
  <c r="R86" i="8"/>
  <c r="Q86" i="8"/>
  <c r="Y86" i="8" s="1"/>
  <c r="R85" i="8"/>
  <c r="Q85" i="8"/>
  <c r="R84" i="8"/>
  <c r="AE84" i="8" s="1"/>
  <c r="Q84" i="8"/>
  <c r="Z84" i="8" s="1"/>
  <c r="CI84" i="8" s="1"/>
  <c r="R83" i="8"/>
  <c r="AE83" i="8" s="1"/>
  <c r="Q83" i="8"/>
  <c r="Z83" i="8" s="1"/>
  <c r="AB83" i="8" s="1"/>
  <c r="R82" i="8"/>
  <c r="AD82" i="8" s="1"/>
  <c r="CL82" i="8" s="1"/>
  <c r="Q82" i="8"/>
  <c r="Y82" i="8" s="1"/>
  <c r="R61" i="8"/>
  <c r="AE61" i="8"/>
  <c r="AG61" i="8" s="1"/>
  <c r="R60" i="8"/>
  <c r="AD60" i="8" s="1"/>
  <c r="R59" i="8"/>
  <c r="R58" i="8"/>
  <c r="AD58" i="8" s="1"/>
  <c r="CL58" i="8" s="1"/>
  <c r="R57" i="8"/>
  <c r="R56" i="8"/>
  <c r="AE56" i="8" s="1"/>
  <c r="AG56" i="8" s="1"/>
  <c r="AD56" i="8"/>
  <c r="R44" i="8"/>
  <c r="AE44" i="8"/>
  <c r="AG44" i="8" s="1"/>
  <c r="Y44" i="8"/>
  <c r="Z43" i="8"/>
  <c r="R43" i="8"/>
  <c r="R42" i="8"/>
  <c r="AE42" i="8" s="1"/>
  <c r="AG42" i="8" s="1"/>
  <c r="R41" i="8"/>
  <c r="AE41" i="8"/>
  <c r="R40" i="8"/>
  <c r="Q40" i="8"/>
  <c r="R37" i="8"/>
  <c r="AE37" i="8" s="1"/>
  <c r="R35" i="8"/>
  <c r="BF93" i="8"/>
  <c r="P89" i="8"/>
  <c r="P88" i="8"/>
  <c r="P61" i="8"/>
  <c r="P60" i="8"/>
  <c r="P59" i="8"/>
  <c r="P58" i="8"/>
  <c r="P57" i="8"/>
  <c r="P56" i="8"/>
  <c r="P55" i="8"/>
  <c r="P54" i="8"/>
  <c r="P53" i="8"/>
  <c r="P44" i="8"/>
  <c r="P43" i="8"/>
  <c r="P42" i="8"/>
  <c r="P39" i="8"/>
  <c r="P37" i="8"/>
  <c r="P35" i="8"/>
  <c r="P10" i="8"/>
  <c r="AB45" i="8"/>
  <c r="Y42" i="8"/>
  <c r="Y43" i="8"/>
  <c r="BM43" i="8" s="1"/>
  <c r="Z55" i="8"/>
  <c r="Y54" i="8"/>
  <c r="CJ54" i="8" s="1"/>
  <c r="Z56" i="8"/>
  <c r="CI56" i="8" s="1"/>
  <c r="Y56" i="8"/>
  <c r="CJ56" i="8" s="1"/>
  <c r="Z60" i="8"/>
  <c r="CI60" i="8" s="1"/>
  <c r="Y60" i="8"/>
  <c r="AA60" i="8" s="1"/>
  <c r="AC60" i="8" s="1"/>
  <c r="Z37" i="8"/>
  <c r="AB37" i="8" s="1"/>
  <c r="CK27" i="8"/>
  <c r="CJ31" i="8"/>
  <c r="BM45" i="8"/>
  <c r="BQ45" i="8" s="1"/>
  <c r="CN45" i="8" s="1"/>
  <c r="BO27" i="8"/>
  <c r="CD27" i="8" s="1"/>
  <c r="CL27" i="8"/>
  <c r="BP24" i="8"/>
  <c r="CF24" i="8" s="1"/>
  <c r="Z9" i="8"/>
  <c r="AB9" i="8" s="1"/>
  <c r="BO73" i="8"/>
  <c r="BO69" i="8"/>
  <c r="BS69" i="8" s="1"/>
  <c r="CL51" i="8"/>
  <c r="AE11" i="8"/>
  <c r="AG11" i="8" s="1"/>
  <c r="AD9" i="8"/>
  <c r="AE33" i="8"/>
  <c r="CK73" i="8"/>
  <c r="CK69" i="8"/>
  <c r="CK78" i="8"/>
  <c r="Y9" i="8"/>
  <c r="BO71" i="8"/>
  <c r="BS71" i="8" s="1"/>
  <c r="P8" i="8"/>
  <c r="AF69" i="8"/>
  <c r="BM28" i="8"/>
  <c r="BX28" i="8" s="1"/>
  <c r="BM52" i="8"/>
  <c r="BQ52" i="8" s="1"/>
  <c r="CN52" i="8" s="1"/>
  <c r="CL69" i="8"/>
  <c r="AD7" i="8"/>
  <c r="BO7" i="8" s="1"/>
  <c r="Z8" i="8"/>
  <c r="AB8" i="8" s="1"/>
  <c r="AC8" i="8" s="1"/>
  <c r="BS76" i="8"/>
  <c r="BT76" i="8"/>
  <c r="AJ8" i="8"/>
  <c r="AM8" i="8" s="1"/>
  <c r="AR8" i="8" s="1"/>
  <c r="BE8" i="8" s="1"/>
  <c r="BJ8" i="8" s="1"/>
  <c r="AD32" i="8"/>
  <c r="BO32" i="8" s="1"/>
  <c r="CL79" i="8"/>
  <c r="BO76" i="8"/>
  <c r="BP76" i="8" s="1"/>
  <c r="AJ7" i="8"/>
  <c r="AM7" i="8" s="1"/>
  <c r="AR7" i="8" s="1"/>
  <c r="BE7" i="8"/>
  <c r="AE7" i="8"/>
  <c r="CK7" i="8" s="1"/>
  <c r="Y50" i="8"/>
  <c r="BN45" i="8"/>
  <c r="AF60" i="8"/>
  <c r="BO51" i="8"/>
  <c r="CC51" i="8" s="1"/>
  <c r="AG51" i="8"/>
  <c r="CI69" i="8"/>
  <c r="AE50" i="8"/>
  <c r="AG50" i="8" s="1"/>
  <c r="CJ77" i="8"/>
  <c r="CJ89" i="8"/>
  <c r="AF77" i="8"/>
  <c r="AG64" i="8"/>
  <c r="BM46" i="8"/>
  <c r="AD41" i="8"/>
  <c r="AD54" i="8"/>
  <c r="BO54" i="8"/>
  <c r="AB60" i="8"/>
  <c r="BO48" i="8"/>
  <c r="BP90" i="8"/>
  <c r="BT90" i="8"/>
  <c r="AB74" i="8"/>
  <c r="AE9" i="8"/>
  <c r="AG9" i="8" s="1"/>
  <c r="G25" i="9"/>
  <c r="G61" i="9"/>
  <c r="AD61" i="8"/>
  <c r="BO61" i="8" s="1"/>
  <c r="BS61" i="8" s="1"/>
  <c r="BU46" i="8"/>
  <c r="AA46" i="8"/>
  <c r="AC46" i="8" s="1"/>
  <c r="AQ50" i="8"/>
  <c r="BD50" i="8" s="1"/>
  <c r="H7" i="9"/>
  <c r="G7" i="9"/>
  <c r="AA56" i="8"/>
  <c r="CJ67" i="8"/>
  <c r="CL62" i="8"/>
  <c r="AG72" i="8"/>
  <c r="BM67" i="8"/>
  <c r="BN67" i="8" s="1"/>
  <c r="BR67" i="8" s="1"/>
  <c r="CJ65" i="8"/>
  <c r="CJ88" i="8"/>
  <c r="CI72" i="8"/>
  <c r="CK72" i="8"/>
  <c r="CL66" i="8"/>
  <c r="CK89" i="8"/>
  <c r="AF74" i="8"/>
  <c r="BO74" i="8"/>
  <c r="CL74" i="8"/>
  <c r="W32" i="8"/>
  <c r="W8" i="8"/>
  <c r="W60" i="8"/>
  <c r="W29" i="8"/>
  <c r="W50" i="8"/>
  <c r="W35" i="8"/>
  <c r="W28" i="8"/>
  <c r="W36" i="8"/>
  <c r="W9" i="8"/>
  <c r="W43" i="8"/>
  <c r="W31" i="8"/>
  <c r="Y53" i="8"/>
  <c r="CJ53" i="8" s="1"/>
  <c r="W46" i="8"/>
  <c r="W39" i="8"/>
  <c r="W34" i="8"/>
  <c r="W55" i="8"/>
  <c r="W30" i="8"/>
  <c r="BM27" i="8"/>
  <c r="BN27" i="8" s="1"/>
  <c r="AD35" i="8"/>
  <c r="AE35" i="8"/>
  <c r="AG35" i="8" s="1"/>
  <c r="AE58" i="8"/>
  <c r="CK58" i="8" s="1"/>
  <c r="W56" i="8"/>
  <c r="Z53" i="8"/>
  <c r="CI53" i="8" s="1"/>
  <c r="AE82" i="8"/>
  <c r="W48" i="8"/>
  <c r="BD64" i="8"/>
  <c r="AF33" i="8"/>
  <c r="AD43" i="8"/>
  <c r="AE43" i="8"/>
  <c r="AA66" i="8"/>
  <c r="BM66" i="8"/>
  <c r="BQ66" i="8" s="1"/>
  <c r="AA71" i="8"/>
  <c r="CJ71" i="8"/>
  <c r="BM71" i="8"/>
  <c r="BN71" i="8" s="1"/>
  <c r="BR71" i="8" s="1"/>
  <c r="CL81" i="8"/>
  <c r="AF80" i="8"/>
  <c r="AG52" i="8"/>
  <c r="W53" i="8"/>
  <c r="AA86" i="8"/>
  <c r="Z86" i="8"/>
  <c r="BS88" i="8"/>
  <c r="BT88" i="8" s="1"/>
  <c r="CL88" i="8"/>
  <c r="AF78" i="8"/>
  <c r="BO78" i="8"/>
  <c r="BS78" i="8" s="1"/>
  <c r="AG74" i="8"/>
  <c r="CK74" i="8"/>
  <c r="AA73" i="8"/>
  <c r="BM73" i="8"/>
  <c r="BN73" i="8" s="1"/>
  <c r="BR73" i="8" s="1"/>
  <c r="AF67" i="8"/>
  <c r="CL67" i="8"/>
  <c r="CJ64" i="8"/>
  <c r="AA64" i="8"/>
  <c r="BM88" i="8"/>
  <c r="BN88" i="8" s="1"/>
  <c r="BO65" i="8"/>
  <c r="BP65" i="8" s="1"/>
  <c r="BT65" i="8" s="1"/>
  <c r="AF65" i="8"/>
  <c r="AA80" i="8"/>
  <c r="AD83" i="8"/>
  <c r="AF83" i="8" s="1"/>
  <c r="CI67" i="8"/>
  <c r="AD39" i="8"/>
  <c r="AA27" i="8"/>
  <c r="AC95" i="8"/>
  <c r="CJ55" i="8"/>
  <c r="AE87" i="8"/>
  <c r="AD87" i="8"/>
  <c r="CK79" i="8"/>
  <c r="BM77" i="8"/>
  <c r="BQ77" i="8" s="1"/>
  <c r="BO89" i="8"/>
  <c r="BP89" i="8" s="1"/>
  <c r="AA78" i="8"/>
  <c r="AF73" i="8"/>
  <c r="CL73" i="8"/>
  <c r="AA68" i="8"/>
  <c r="CJ68" i="8"/>
  <c r="AB66" i="8"/>
  <c r="AG63" i="8"/>
  <c r="CK63" i="8"/>
  <c r="AD44" i="8"/>
  <c r="BC82" i="8"/>
  <c r="CI77" i="8"/>
  <c r="AE29" i="8"/>
  <c r="AG88" i="8"/>
  <c r="CK88" i="8"/>
  <c r="W24" i="8"/>
  <c r="CI48" i="8"/>
  <c r="AR55" i="8"/>
  <c r="BE55" i="8" s="1"/>
  <c r="BC55" i="8"/>
  <c r="CI55" i="8" s="1"/>
  <c r="BX45" i="8"/>
  <c r="BC53" i="8"/>
  <c r="BC37" i="8"/>
  <c r="CI37" i="8" s="1"/>
  <c r="BC86" i="8"/>
  <c r="AR54" i="8"/>
  <c r="BE54" i="8" s="1"/>
  <c r="BC54" i="8"/>
  <c r="AR70" i="8"/>
  <c r="BE70" i="8" s="1"/>
  <c r="BU27" i="8"/>
  <c r="CJ27" i="8"/>
  <c r="AD53" i="8"/>
  <c r="AE53" i="8"/>
  <c r="AB55" i="8"/>
  <c r="AA42" i="8"/>
  <c r="AD37" i="8"/>
  <c r="W44" i="8"/>
  <c r="Z44" i="8"/>
  <c r="BM44" i="8" s="1"/>
  <c r="BQ44" i="8" s="1"/>
  <c r="Y57" i="8"/>
  <c r="AA57" i="8" s="1"/>
  <c r="Y59" i="8"/>
  <c r="Y61" i="8"/>
  <c r="Z61" i="8"/>
  <c r="AE36" i="8"/>
  <c r="BC45" i="8"/>
  <c r="W10" i="8"/>
  <c r="Z10" i="8"/>
  <c r="BC94" i="8"/>
  <c r="Y83" i="8"/>
  <c r="W61" i="8"/>
  <c r="BD36" i="8"/>
  <c r="AE30" i="8"/>
  <c r="AR79" i="8"/>
  <c r="BE79" i="8" s="1"/>
  <c r="AR93" i="8"/>
  <c r="BE93" i="8" s="1"/>
  <c r="BU93" i="8" s="1"/>
  <c r="AR90" i="8"/>
  <c r="BE90" i="8" s="1"/>
  <c r="AR85" i="8"/>
  <c r="BE85" i="8" s="1"/>
  <c r="BC85" i="8"/>
  <c r="AR63" i="8"/>
  <c r="BE63" i="8" s="1"/>
  <c r="BC63" i="8"/>
  <c r="BS97" i="8"/>
  <c r="BP97" i="8"/>
  <c r="BT97" i="8" s="1"/>
  <c r="AB62" i="8"/>
  <c r="CI62" i="8"/>
  <c r="CI81" i="8"/>
  <c r="BM80" i="8"/>
  <c r="BN80" i="8" s="1"/>
  <c r="BR80" i="8" s="1"/>
  <c r="AR88" i="8"/>
  <c r="BE88" i="8" s="1"/>
  <c r="BP69" i="8"/>
  <c r="BT69" i="8" s="1"/>
  <c r="BS95" i="8"/>
  <c r="BP95" i="8"/>
  <c r="BT95" i="8" s="1"/>
  <c r="AF88" i="8"/>
  <c r="BO88" i="8"/>
  <c r="BP88" i="8" s="1"/>
  <c r="AG77" i="8"/>
  <c r="BO77" i="8"/>
  <c r="AG70" i="8"/>
  <c r="AA69" i="8"/>
  <c r="BM69" i="8"/>
  <c r="BQ69" i="8" s="1"/>
  <c r="AA63" i="8"/>
  <c r="AC63" i="8" s="1"/>
  <c r="BC78" i="8"/>
  <c r="BC67" i="8"/>
  <c r="BS67" i="8"/>
  <c r="BT67" i="8"/>
  <c r="BS93" i="8"/>
  <c r="BP93" i="8"/>
  <c r="BT93" i="8" s="1"/>
  <c r="AB88" i="8"/>
  <c r="AC88" i="8" s="1"/>
  <c r="CI88" i="8"/>
  <c r="AB73" i="8"/>
  <c r="CI73" i="8"/>
  <c r="CI65" i="8"/>
  <c r="AG62" i="8"/>
  <c r="BD93" i="8"/>
  <c r="CJ79" i="8"/>
  <c r="BM62" i="8"/>
  <c r="BS99" i="8"/>
  <c r="BP99" i="8"/>
  <c r="BT99" i="8" s="1"/>
  <c r="BS91" i="8"/>
  <c r="BP91" i="8"/>
  <c r="BT91" i="8" s="1"/>
  <c r="AB78" i="8"/>
  <c r="AC78" i="8" s="1"/>
  <c r="CI71" i="8"/>
  <c r="AB71" i="8"/>
  <c r="AC71" i="8" s="1"/>
  <c r="AB70" i="8"/>
  <c r="AG66" i="8"/>
  <c r="CI64" i="8"/>
  <c r="AB64" i="8"/>
  <c r="AC90" i="8"/>
  <c r="AB43" i="8"/>
  <c r="BU56" i="8"/>
  <c r="AB56" i="8"/>
  <c r="BM56" i="8"/>
  <c r="AA44" i="8"/>
  <c r="AF54" i="8"/>
  <c r="AG41" i="8"/>
  <c r="AF56" i="8"/>
  <c r="CL56" i="8"/>
  <c r="BO56" i="8"/>
  <c r="BM60" i="8"/>
  <c r="BQ60" i="8" s="1"/>
  <c r="AG84" i="8"/>
  <c r="CK84" i="8"/>
  <c r="AG83" i="8"/>
  <c r="BD46" i="8"/>
  <c r="BC90" i="8"/>
  <c r="AR51" i="8"/>
  <c r="BE51" i="8" s="1"/>
  <c r="BQ98" i="8"/>
  <c r="BQ90" i="8"/>
  <c r="BQ99" i="8"/>
  <c r="BN99" i="8"/>
  <c r="BR99" i="8" s="1"/>
  <c r="BQ95" i="8"/>
  <c r="BN95" i="8"/>
  <c r="BR95" i="8" s="1"/>
  <c r="AB48" i="8"/>
  <c r="BS51" i="8"/>
  <c r="CS51" i="8" s="1"/>
  <c r="BQ96" i="8"/>
  <c r="BN96" i="8"/>
  <c r="BR96" i="8" s="1"/>
  <c r="BQ92" i="8"/>
  <c r="BN92" i="8"/>
  <c r="BR92" i="8" s="1"/>
  <c r="BQ97" i="8"/>
  <c r="BQ93" i="8"/>
  <c r="BN93" i="8"/>
  <c r="BR93" i="8" s="1"/>
  <c r="AA75" i="8"/>
  <c r="AC77" i="8"/>
  <c r="AE28" i="8"/>
  <c r="AD28" i="8"/>
  <c r="BS25" i="8"/>
  <c r="CT25" i="8" s="1"/>
  <c r="AE31" i="8"/>
  <c r="AG31" i="8" s="1"/>
  <c r="AD31" i="8"/>
  <c r="AG7" i="8"/>
  <c r="AC92" i="8"/>
  <c r="AB28" i="8"/>
  <c r="AC28" i="8"/>
  <c r="Y10" i="8"/>
  <c r="BQ88" i="8"/>
  <c r="BR88" i="8" s="1"/>
  <c r="BS27" i="8"/>
  <c r="CS27" i="8" s="1"/>
  <c r="H11" i="9"/>
  <c r="G69" i="9"/>
  <c r="G11" i="9"/>
  <c r="BQ80" i="8"/>
  <c r="AB80" i="8"/>
  <c r="AR80" i="8"/>
  <c r="BE80" i="8" s="1"/>
  <c r="BU80" i="8" s="1"/>
  <c r="AA39" i="8"/>
  <c r="AF39" i="8"/>
  <c r="CJ29" i="8"/>
  <c r="AB29" i="8"/>
  <c r="CI29" i="8"/>
  <c r="AF30" i="8"/>
  <c r="CI30" i="8"/>
  <c r="BM30" i="8"/>
  <c r="BQ30" i="8" s="1"/>
  <c r="CN30" i="8" s="1"/>
  <c r="AA30" i="8"/>
  <c r="G47" i="9"/>
  <c r="H47" i="9"/>
  <c r="H17" i="9"/>
  <c r="G43" i="9"/>
  <c r="H43" i="9"/>
  <c r="BM29" i="8"/>
  <c r="BX29" i="8" s="1"/>
  <c r="BP51" i="8"/>
  <c r="CD51" i="8"/>
  <c r="BS48" i="8"/>
  <c r="AF9" i="8"/>
  <c r="BP71" i="8"/>
  <c r="BT71" i="8" s="1"/>
  <c r="BQ28" i="8"/>
  <c r="CN28" i="8" s="1"/>
  <c r="AF35" i="8"/>
  <c r="BX52" i="8"/>
  <c r="BU50" i="8"/>
  <c r="BN52" i="8"/>
  <c r="AF32" i="8"/>
  <c r="CL32" i="8"/>
  <c r="CK56" i="8"/>
  <c r="BQ67" i="8"/>
  <c r="CL54" i="8"/>
  <c r="BQ71" i="8"/>
  <c r="CL60" i="8"/>
  <c r="BQ34" i="8"/>
  <c r="BN34" i="8"/>
  <c r="BR34" i="8" s="1"/>
  <c r="BO50" i="8"/>
  <c r="BO37" i="8"/>
  <c r="BS37" i="8" s="1"/>
  <c r="CT37" i="8" s="1"/>
  <c r="AA50" i="8"/>
  <c r="AC50" i="8" s="1"/>
  <c r="BM50" i="8"/>
  <c r="AC64" i="8"/>
  <c r="BO41" i="8"/>
  <c r="BS41" i="8" s="1"/>
  <c r="CT41" i="8" s="1"/>
  <c r="BP78" i="8"/>
  <c r="BT78" i="8" s="1"/>
  <c r="CL61" i="8"/>
  <c r="AF61" i="8"/>
  <c r="BU61" i="8"/>
  <c r="BS83" i="8"/>
  <c r="BT83" i="8" s="1"/>
  <c r="BO83" i="8"/>
  <c r="BP83" i="8" s="1"/>
  <c r="BM86" i="8"/>
  <c r="BN86" i="8" s="1"/>
  <c r="BU83" i="8"/>
  <c r="AG82" i="8"/>
  <c r="CK82" i="8"/>
  <c r="AG30" i="8"/>
  <c r="AF43" i="8"/>
  <c r="BN69" i="8"/>
  <c r="BR69" i="8" s="1"/>
  <c r="AC66" i="8"/>
  <c r="AF58" i="8"/>
  <c r="BO58" i="8"/>
  <c r="CL87" i="8"/>
  <c r="AG58" i="8"/>
  <c r="BN77" i="8"/>
  <c r="BR77" i="8" s="1"/>
  <c r="BO35" i="8"/>
  <c r="AG87" i="8"/>
  <c r="BN66" i="8"/>
  <c r="BR66" i="8" s="1"/>
  <c r="AG29" i="8"/>
  <c r="CK29" i="8"/>
  <c r="CL44" i="8"/>
  <c r="AF36" i="8"/>
  <c r="AA61" i="8"/>
  <c r="CJ61" i="8"/>
  <c r="CK53" i="8"/>
  <c r="AG53" i="8"/>
  <c r="BU28" i="8"/>
  <c r="AB10" i="8"/>
  <c r="AC10" i="8" s="1"/>
  <c r="AB44" i="8"/>
  <c r="AG37" i="8"/>
  <c r="AF53" i="8"/>
  <c r="CL53" i="8"/>
  <c r="BO53" i="8"/>
  <c r="CI86" i="8"/>
  <c r="CJ59" i="8"/>
  <c r="AA59" i="8"/>
  <c r="AF37" i="8"/>
  <c r="BM61" i="8"/>
  <c r="BQ61" i="8" s="1"/>
  <c r="AA83" i="8"/>
  <c r="BM83" i="8"/>
  <c r="BN83" i="8" s="1"/>
  <c r="CI61" i="8"/>
  <c r="AB61" i="8"/>
  <c r="BL8" i="8"/>
  <c r="BK8" i="8"/>
  <c r="BQ62" i="8"/>
  <c r="BN62" i="8"/>
  <c r="BR62" i="8" s="1"/>
  <c r="CT51" i="8"/>
  <c r="CU51" i="8" s="1"/>
  <c r="BN56" i="8"/>
  <c r="AA10" i="8"/>
  <c r="CJ10" i="8"/>
  <c r="BM10" i="8"/>
  <c r="BN10" i="8" s="1"/>
  <c r="BN44" i="8"/>
  <c r="AF28" i="8"/>
  <c r="BN30" i="8"/>
  <c r="BR30" i="8" s="1"/>
  <c r="BX30" i="8"/>
  <c r="BX50" i="8"/>
  <c r="BN50" i="8"/>
  <c r="BR50" i="8" s="1"/>
  <c r="BQ50" i="8"/>
  <c r="CN50" i="8" s="1"/>
  <c r="BP41" i="8"/>
  <c r="CG41" i="8" s="1"/>
  <c r="BX61" i="8"/>
  <c r="BR44" i="8"/>
  <c r="BC23" i="8" l="1"/>
  <c r="CK23" i="8" s="1"/>
  <c r="AR20" i="8"/>
  <c r="BE20" i="8" s="1"/>
  <c r="BJ20" i="8" s="1"/>
  <c r="BC16" i="8"/>
  <c r="AR13" i="8"/>
  <c r="BE13" i="8" s="1"/>
  <c r="CI12" i="8"/>
  <c r="CK17" i="8"/>
  <c r="CL23" i="8"/>
  <c r="AF23" i="8"/>
  <c r="AG17" i="8"/>
  <c r="BO17" i="8"/>
  <c r="BJ23" i="8"/>
  <c r="BP23" i="8"/>
  <c r="CD23" i="8"/>
  <c r="AA23" i="8"/>
  <c r="AC23" i="8" s="1"/>
  <c r="BU23" i="8"/>
  <c r="BM23" i="8"/>
  <c r="CJ23" i="8"/>
  <c r="AC20" i="8"/>
  <c r="CL20" i="8"/>
  <c r="AF20" i="8"/>
  <c r="BO20" i="8"/>
  <c r="BM20" i="8"/>
  <c r="BU20" i="8"/>
  <c r="CI20" i="8"/>
  <c r="AB20" i="8"/>
  <c r="AG20" i="8"/>
  <c r="CK20" i="8"/>
  <c r="CN17" i="8"/>
  <c r="CM17" i="8"/>
  <c r="BO18" i="8"/>
  <c r="CL18" i="8"/>
  <c r="AF18" i="8"/>
  <c r="CT19" i="8"/>
  <c r="CT17" i="8"/>
  <c r="CG19" i="8"/>
  <c r="BV17" i="8"/>
  <c r="BJ17" i="8"/>
  <c r="BU18" i="8"/>
  <c r="CW19" i="8"/>
  <c r="BP17" i="8"/>
  <c r="CD17" i="8"/>
  <c r="BX18" i="8"/>
  <c r="BW18" i="8"/>
  <c r="BN18" i="8"/>
  <c r="BJ19" i="8"/>
  <c r="BV19" i="8"/>
  <c r="BN17" i="8"/>
  <c r="BW17" i="8"/>
  <c r="BX17" i="8"/>
  <c r="AA19" i="8"/>
  <c r="AC19" i="8" s="1"/>
  <c r="BU19" i="8"/>
  <c r="BM19" i="8"/>
  <c r="CJ19" i="8"/>
  <c r="BX16" i="8"/>
  <c r="BW16" i="8"/>
  <c r="BN16" i="8"/>
  <c r="BO16" i="8"/>
  <c r="AF16" i="8"/>
  <c r="BV18" i="8"/>
  <c r="BJ18" i="8"/>
  <c r="BV16" i="8"/>
  <c r="BJ16" i="8"/>
  <c r="BU17" i="8"/>
  <c r="CT15" i="8"/>
  <c r="CS15" i="8"/>
  <c r="CA13" i="8"/>
  <c r="BX14" i="8"/>
  <c r="BW14" i="8"/>
  <c r="BY14" i="8" s="1"/>
  <c r="BN14" i="8"/>
  <c r="BO14" i="8"/>
  <c r="AF14" i="8"/>
  <c r="BU14" i="8"/>
  <c r="CN13" i="8"/>
  <c r="BC15" i="8"/>
  <c r="AR15" i="8"/>
  <c r="BE15" i="8" s="1"/>
  <c r="CG12" i="8"/>
  <c r="BO13" i="8"/>
  <c r="BU13" i="8"/>
  <c r="AF13" i="8"/>
  <c r="CI13" i="8"/>
  <c r="AG13" i="8"/>
  <c r="CL13" i="8"/>
  <c r="CD15" i="8"/>
  <c r="CC15" i="8"/>
  <c r="BP15" i="8"/>
  <c r="CT12" i="8"/>
  <c r="BN12" i="8"/>
  <c r="BX12" i="8"/>
  <c r="CN15" i="8"/>
  <c r="CM15" i="8"/>
  <c r="BJ12" i="8"/>
  <c r="BV12" i="8"/>
  <c r="BV14" i="8"/>
  <c r="BJ14" i="8"/>
  <c r="BN15" i="8"/>
  <c r="BW15" i="8"/>
  <c r="BY15" i="8" s="1"/>
  <c r="BX15" i="8"/>
  <c r="AA58" i="8"/>
  <c r="CJ58" i="8"/>
  <c r="BQ48" i="8"/>
  <c r="BN48" i="8"/>
  <c r="BR48" i="8" s="1"/>
  <c r="BP7" i="8"/>
  <c r="CC7" i="8"/>
  <c r="BS7" i="8"/>
  <c r="BN43" i="8"/>
  <c r="BR43" i="8" s="1"/>
  <c r="CQ43" i="8" s="1"/>
  <c r="BQ43" i="8"/>
  <c r="F81" i="9"/>
  <c r="H81" i="9" s="1"/>
  <c r="Z57" i="8"/>
  <c r="W57" i="8"/>
  <c r="G53" i="9"/>
  <c r="H53" i="9"/>
  <c r="CJ60" i="8"/>
  <c r="AR52" i="8"/>
  <c r="BE52" i="8" s="1"/>
  <c r="BJ52" i="8" s="1"/>
  <c r="CJ45" i="8"/>
  <c r="AA43" i="8"/>
  <c r="AC43" i="8" s="1"/>
  <c r="BU45" i="8"/>
  <c r="AD40" i="8"/>
  <c r="AC31" i="8"/>
  <c r="AR58" i="8"/>
  <c r="BE58" i="8" s="1"/>
  <c r="CC58" i="8" s="1"/>
  <c r="W37" i="8"/>
  <c r="Y7" i="8"/>
  <c r="CJ7" i="8" s="1"/>
  <c r="CI31" i="8"/>
  <c r="BS75" i="8"/>
  <c r="BT75" i="8" s="1"/>
  <c r="CA30" i="8"/>
  <c r="BN61" i="8"/>
  <c r="BQ29" i="8"/>
  <c r="BM55" i="8"/>
  <c r="BQ55" i="8" s="1"/>
  <c r="CN55" i="8" s="1"/>
  <c r="BO62" i="8"/>
  <c r="AC69" i="8"/>
  <c r="BO79" i="8"/>
  <c r="BM68" i="8"/>
  <c r="AF89" i="8"/>
  <c r="BM36" i="8"/>
  <c r="BQ36" i="8" s="1"/>
  <c r="CN36" i="8" s="1"/>
  <c r="BM70" i="8"/>
  <c r="BN70" i="8" s="1"/>
  <c r="BR70" i="8" s="1"/>
  <c r="AE40" i="8"/>
  <c r="AG40" i="8" s="1"/>
  <c r="AR82" i="8"/>
  <c r="BE82" i="8" s="1"/>
  <c r="BM64" i="8"/>
  <c r="AC96" i="8"/>
  <c r="AC94" i="8"/>
  <c r="AC34" i="8"/>
  <c r="BQ73" i="8"/>
  <c r="BM39" i="8"/>
  <c r="BQ39" i="8" s="1"/>
  <c r="CJ36" i="8"/>
  <c r="CJ70" i="8"/>
  <c r="W38" i="8"/>
  <c r="AG80" i="8"/>
  <c r="BO45" i="8"/>
  <c r="BP45" i="8" s="1"/>
  <c r="CL52" i="8"/>
  <c r="BS89" i="8"/>
  <c r="BT89" i="8" s="1"/>
  <c r="BU48" i="8"/>
  <c r="BO66" i="8"/>
  <c r="AR36" i="8"/>
  <c r="BE36" i="8" s="1"/>
  <c r="Z42" i="8"/>
  <c r="BO64" i="8"/>
  <c r="BS64" i="8" s="1"/>
  <c r="BU44" i="8"/>
  <c r="CK61" i="8"/>
  <c r="CJ42" i="8"/>
  <c r="CK35" i="8"/>
  <c r="CK54" i="8"/>
  <c r="BU36" i="8"/>
  <c r="AC61" i="8"/>
  <c r="BM53" i="8"/>
  <c r="BN53" i="8" s="1"/>
  <c r="BR53" i="8" s="1"/>
  <c r="CP53" i="8" s="1"/>
  <c r="W42" i="8"/>
  <c r="AF64" i="8"/>
  <c r="BV29" i="8"/>
  <c r="CJ50" i="8"/>
  <c r="AC67" i="8"/>
  <c r="CD56" i="8"/>
  <c r="G81" i="9"/>
  <c r="CT27" i="8"/>
  <c r="CU27" i="8" s="1"/>
  <c r="CJ57" i="8"/>
  <c r="BM31" i="8"/>
  <c r="BX31" i="8" s="1"/>
  <c r="AC39" i="8"/>
  <c r="AR44" i="8"/>
  <c r="BE44" i="8" s="1"/>
  <c r="CC44" i="8" s="1"/>
  <c r="AC70" i="8"/>
  <c r="CI68" i="8"/>
  <c r="BO80" i="8"/>
  <c r="CA27" i="8"/>
  <c r="AP73" i="8"/>
  <c r="BC73" i="8" s="1"/>
  <c r="AP50" i="8"/>
  <c r="BC50" i="8" s="1"/>
  <c r="CI50" i="8" s="1"/>
  <c r="AC76" i="8"/>
  <c r="H69" i="9"/>
  <c r="AA32" i="8"/>
  <c r="CI39" i="8"/>
  <c r="Y84" i="8"/>
  <c r="CJ84" i="8" s="1"/>
  <c r="CL83" i="8"/>
  <c r="H61" i="9"/>
  <c r="G41" i="9"/>
  <c r="G33" i="9"/>
  <c r="G19" i="9"/>
  <c r="G9" i="9"/>
  <c r="H35" i="9"/>
  <c r="H37" i="9"/>
  <c r="H29" i="9"/>
  <c r="H19" i="9"/>
  <c r="G71" i="9"/>
  <c r="H9" i="9"/>
  <c r="G55" i="9"/>
  <c r="G27" i="9"/>
  <c r="G63" i="9"/>
  <c r="H67" i="9"/>
  <c r="G39" i="9"/>
  <c r="G31" i="9"/>
  <c r="G37" i="9"/>
  <c r="G29" i="9"/>
  <c r="G73" i="9"/>
  <c r="G21" i="9"/>
  <c r="G13" i="9"/>
  <c r="CI11" i="8"/>
  <c r="CK11" i="8"/>
  <c r="CN44" i="8"/>
  <c r="BX44" i="8"/>
  <c r="CA44" i="8"/>
  <c r="CK33" i="8"/>
  <c r="BO9" i="8"/>
  <c r="CD9" i="8" s="1"/>
  <c r="AR45" i="8"/>
  <c r="BE45" i="8" s="1"/>
  <c r="BJ45" i="8" s="1"/>
  <c r="BK45" i="8" s="1"/>
  <c r="G87" i="9"/>
  <c r="G77" i="9"/>
  <c r="BN28" i="8"/>
  <c r="CK37" i="8"/>
  <c r="BN36" i="8"/>
  <c r="BR36" i="8" s="1"/>
  <c r="CD45" i="8"/>
  <c r="G89" i="9"/>
  <c r="CQ44" i="8"/>
  <c r="H21" i="9"/>
  <c r="CC54" i="8"/>
  <c r="G15" i="9"/>
  <c r="BX10" i="8"/>
  <c r="G79" i="9"/>
  <c r="G67" i="9"/>
  <c r="H59" i="9"/>
  <c r="G51" i="9"/>
  <c r="BX43" i="8"/>
  <c r="BQ79" i="8"/>
  <c r="BN79" i="8"/>
  <c r="BR79" i="8" s="1"/>
  <c r="BL32" i="8"/>
  <c r="BK32" i="8"/>
  <c r="BM7" i="8"/>
  <c r="AF29" i="8"/>
  <c r="CL29" i="8"/>
  <c r="BO29" i="8"/>
  <c r="BD53" i="8"/>
  <c r="AR53" i="8"/>
  <c r="BE53" i="8" s="1"/>
  <c r="BJ53" i="8" s="1"/>
  <c r="BL53" i="8" s="1"/>
  <c r="CG45" i="8"/>
  <c r="BT45" i="8"/>
  <c r="CW45" i="8" s="1"/>
  <c r="AR62" i="8"/>
  <c r="BE62" i="8" s="1"/>
  <c r="BU62" i="8" s="1"/>
  <c r="BD62" i="8"/>
  <c r="BC91" i="8"/>
  <c r="AR91" i="8"/>
  <c r="BE91" i="8" s="1"/>
  <c r="BU91" i="8" s="1"/>
  <c r="BV8" i="8"/>
  <c r="BC69" i="8"/>
  <c r="AR69" i="8"/>
  <c r="BE69" i="8" s="1"/>
  <c r="CJ43" i="8"/>
  <c r="CL43" i="8"/>
  <c r="CQ48" i="8"/>
  <c r="BX48" i="8"/>
  <c r="CN48" i="8"/>
  <c r="CA48" i="8"/>
  <c r="BR10" i="8"/>
  <c r="CQ10" i="8" s="1"/>
  <c r="CA10" i="8"/>
  <c r="BD67" i="8"/>
  <c r="AR67" i="8"/>
  <c r="BE67" i="8" s="1"/>
  <c r="BU67" i="8" s="1"/>
  <c r="BD37" i="8"/>
  <c r="CL37" i="8" s="1"/>
  <c r="AR37" i="8"/>
  <c r="BE37" i="8" s="1"/>
  <c r="BX34" i="8"/>
  <c r="CA34" i="8"/>
  <c r="BJ30" i="8"/>
  <c r="BO44" i="8"/>
  <c r="BP44" i="8" s="1"/>
  <c r="BO82" i="8"/>
  <c r="BP82" i="8" s="1"/>
  <c r="BS45" i="8"/>
  <c r="CT45" i="8" s="1"/>
  <c r="CE51" i="8"/>
  <c r="BV30" i="8"/>
  <c r="AC29" i="8"/>
  <c r="BM65" i="8"/>
  <c r="AR72" i="8"/>
  <c r="BE72" i="8" s="1"/>
  <c r="BM89" i="8"/>
  <c r="BN89" i="8" s="1"/>
  <c r="BU63" i="8"/>
  <c r="BU70" i="8"/>
  <c r="AR27" i="8"/>
  <c r="BE27" i="8" s="1"/>
  <c r="BV27" i="8" s="1"/>
  <c r="BM63" i="8"/>
  <c r="Y37" i="8"/>
  <c r="AR61" i="8"/>
  <c r="BE61" i="8" s="1"/>
  <c r="AC35" i="8"/>
  <c r="AR56" i="8"/>
  <c r="BE56" i="8" s="1"/>
  <c r="BV56" i="8" s="1"/>
  <c r="CJ44" i="8"/>
  <c r="BN29" i="8"/>
  <c r="CQ36" i="8"/>
  <c r="AF44" i="8"/>
  <c r="BS82" i="8"/>
  <c r="BT82" i="8" s="1"/>
  <c r="CI8" i="8"/>
  <c r="AC56" i="8"/>
  <c r="AF82" i="8"/>
  <c r="CL50" i="8"/>
  <c r="BS65" i="8"/>
  <c r="AC73" i="8"/>
  <c r="CJ8" i="8"/>
  <c r="Z59" i="8"/>
  <c r="AC45" i="8"/>
  <c r="CT48" i="8"/>
  <c r="BR27" i="8"/>
  <c r="CQ27" i="8" s="1"/>
  <c r="H51" i="9"/>
  <c r="AB32" i="8"/>
  <c r="AC32" i="8" s="1"/>
  <c r="CD46" i="8"/>
  <c r="CE46" i="8" s="1"/>
  <c r="BO70" i="8"/>
  <c r="BU90" i="8"/>
  <c r="BP92" i="8"/>
  <c r="BT92" i="8" s="1"/>
  <c r="CI63" i="8"/>
  <c r="AR59" i="8"/>
  <c r="BE59" i="8" s="1"/>
  <c r="CL48" i="8"/>
  <c r="F85" i="9"/>
  <c r="AG32" i="8"/>
  <c r="CJ38" i="8"/>
  <c r="CD37" i="8"/>
  <c r="CN34" i="8"/>
  <c r="BU32" i="8"/>
  <c r="H33" i="9"/>
  <c r="CN39" i="8"/>
  <c r="BP46" i="8"/>
  <c r="CF46" i="8" s="1"/>
  <c r="BU29" i="8"/>
  <c r="E5" i="9"/>
  <c r="CI35" i="8"/>
  <c r="CA50" i="8"/>
  <c r="BP37" i="8"/>
  <c r="BP54" i="8"/>
  <c r="BU31" i="8"/>
  <c r="BU35" i="8"/>
  <c r="CJ46" i="8"/>
  <c r="AA54" i="8"/>
  <c r="CN60" i="8"/>
  <c r="AR84" i="8"/>
  <c r="BE84" i="8" s="1"/>
  <c r="BM35" i="8"/>
  <c r="BO72" i="8"/>
  <c r="W7" i="8"/>
  <c r="AR83" i="8"/>
  <c r="BE83" i="8" s="1"/>
  <c r="AR40" i="8"/>
  <c r="BE40" i="8" s="1"/>
  <c r="BJ40" i="8" s="1"/>
  <c r="E45" i="9"/>
  <c r="BQ10" i="8"/>
  <c r="CN10" i="8" s="1"/>
  <c r="CK31" i="8"/>
  <c r="CD54" i="8"/>
  <c r="AR50" i="8"/>
  <c r="BE50" i="8" s="1"/>
  <c r="BJ50" i="8" s="1"/>
  <c r="BS46" i="8"/>
  <c r="CT46" i="8" s="1"/>
  <c r="BM76" i="8"/>
  <c r="BN76" i="8" s="1"/>
  <c r="BQ76" i="8"/>
  <c r="BR76" i="8" s="1"/>
  <c r="CL70" i="8"/>
  <c r="BS54" i="8"/>
  <c r="BQ27" i="8"/>
  <c r="CN27" i="8" s="1"/>
  <c r="AC30" i="8"/>
  <c r="H79" i="9"/>
  <c r="BM32" i="8"/>
  <c r="BX32" i="8" s="1"/>
  <c r="AC48" i="8"/>
  <c r="CL72" i="8"/>
  <c r="AB7" i="8"/>
  <c r="BM8" i="8"/>
  <c r="AD42" i="8"/>
  <c r="AC49" i="8"/>
  <c r="CK48" i="8"/>
  <c r="CL40" i="8"/>
  <c r="H15" i="9"/>
  <c r="H13" i="9"/>
  <c r="H31" i="9"/>
  <c r="H57" i="9"/>
  <c r="G49" i="9"/>
  <c r="H65" i="9"/>
  <c r="G59" i="9"/>
  <c r="H41" i="9"/>
  <c r="H39" i="9"/>
  <c r="BS24" i="8"/>
  <c r="CJ25" i="8"/>
  <c r="G23" i="9"/>
  <c r="BU25" i="8"/>
  <c r="BT24" i="8"/>
  <c r="BX25" i="8"/>
  <c r="CD25" i="8"/>
  <c r="CE25" i="8" s="1"/>
  <c r="AR24" i="8"/>
  <c r="BE24" i="8" s="1"/>
  <c r="BJ24" i="8" s="1"/>
  <c r="BQ25" i="8"/>
  <c r="CN25" i="8" s="1"/>
  <c r="BP25" i="8"/>
  <c r="H23" i="9"/>
  <c r="CI25" i="8"/>
  <c r="CJ24" i="8"/>
  <c r="CA25" i="8"/>
  <c r="CQ53" i="8"/>
  <c r="BS58" i="8"/>
  <c r="BP58" i="8"/>
  <c r="CD58" i="8"/>
  <c r="BR52" i="8"/>
  <c r="CQ52" i="8" s="1"/>
  <c r="CA52" i="8"/>
  <c r="BP32" i="8"/>
  <c r="BS32" i="8"/>
  <c r="CC32" i="8"/>
  <c r="AB53" i="8"/>
  <c r="BU53" i="8"/>
  <c r="BS74" i="8"/>
  <c r="BP74" i="8"/>
  <c r="BT74" i="8" s="1"/>
  <c r="BP61" i="8"/>
  <c r="CD61" i="8"/>
  <c r="CC61" i="8"/>
  <c r="BU9" i="8"/>
  <c r="BM9" i="8"/>
  <c r="BL29" i="8"/>
  <c r="CC29" i="8" s="1"/>
  <c r="BK29" i="8"/>
  <c r="AR39" i="8"/>
  <c r="BE39" i="8" s="1"/>
  <c r="BD39" i="8"/>
  <c r="CJ72" i="8"/>
  <c r="AA72" i="8"/>
  <c r="AC72" i="8" s="1"/>
  <c r="BM72" i="8"/>
  <c r="BU72" i="8"/>
  <c r="CQ50" i="8"/>
  <c r="CS25" i="8"/>
  <c r="CU25" i="8" s="1"/>
  <c r="BP35" i="8"/>
  <c r="BS35" i="8"/>
  <c r="CT35" i="8" s="1"/>
  <c r="CD32" i="8"/>
  <c r="AC55" i="8"/>
  <c r="BV55" i="8"/>
  <c r="BD95" i="8"/>
  <c r="AR95" i="8"/>
  <c r="BE95" i="8" s="1"/>
  <c r="BU95" i="8" s="1"/>
  <c r="BC89" i="8"/>
  <c r="AR89" i="8"/>
  <c r="BE89" i="8" s="1"/>
  <c r="BU89" i="8" s="1"/>
  <c r="AC27" i="8"/>
  <c r="BS77" i="8"/>
  <c r="BP77" i="8"/>
  <c r="BT77" i="8" s="1"/>
  <c r="BD86" i="8"/>
  <c r="CJ86" i="8" s="1"/>
  <c r="AR86" i="8"/>
  <c r="BE86" i="8" s="1"/>
  <c r="BN24" i="8"/>
  <c r="BQ24" i="8"/>
  <c r="BX24" i="8"/>
  <c r="BS56" i="8"/>
  <c r="BP56" i="8"/>
  <c r="AG43" i="8"/>
  <c r="BO43" i="8"/>
  <c r="CK43" i="8"/>
  <c r="BT41" i="8"/>
  <c r="CW41" i="8" s="1"/>
  <c r="BN60" i="8"/>
  <c r="AA9" i="8"/>
  <c r="AC9" i="8" s="1"/>
  <c r="BU69" i="8"/>
  <c r="CI45" i="8"/>
  <c r="CK45" i="8"/>
  <c r="BO87" i="8"/>
  <c r="BP87" i="8" s="1"/>
  <c r="CK87" i="8"/>
  <c r="CF51" i="8"/>
  <c r="CG51" i="8"/>
  <c r="BT51" i="8"/>
  <c r="Z33" i="8"/>
  <c r="CI33" i="8" s="1"/>
  <c r="W33" i="8"/>
  <c r="Y33" i="8"/>
  <c r="CD35" i="8"/>
  <c r="CL31" i="8"/>
  <c r="BO31" i="8"/>
  <c r="BP31" i="8" s="1"/>
  <c r="AF31" i="8"/>
  <c r="CJ83" i="8"/>
  <c r="BQ83" i="8"/>
  <c r="BR83" i="8" s="1"/>
  <c r="CK36" i="8"/>
  <c r="AG36" i="8"/>
  <c r="BO36" i="8"/>
  <c r="BW44" i="8"/>
  <c r="BY44" i="8" s="1"/>
  <c r="BZ44" i="8"/>
  <c r="CB44" i="8" s="1"/>
  <c r="BX60" i="8"/>
  <c r="CC53" i="8"/>
  <c r="CD53" i="8"/>
  <c r="BR61" i="8"/>
  <c r="BZ61" i="8"/>
  <c r="BP64" i="8"/>
  <c r="BT64" i="8" s="1"/>
  <c r="BT46" i="8"/>
  <c r="BQ56" i="8"/>
  <c r="BX56" i="8"/>
  <c r="CK83" i="8"/>
  <c r="CI83" i="8"/>
  <c r="CA45" i="8"/>
  <c r="BR45" i="8"/>
  <c r="AD57" i="8"/>
  <c r="AE57" i="8"/>
  <c r="AD85" i="8"/>
  <c r="AE85" i="8"/>
  <c r="W25" i="8"/>
  <c r="BR25" i="8"/>
  <c r="CQ25" i="8" s="1"/>
  <c r="AC81" i="8"/>
  <c r="AF41" i="8"/>
  <c r="CL41" i="8"/>
  <c r="BW61" i="8"/>
  <c r="BY61" i="8" s="1"/>
  <c r="BV61" i="8"/>
  <c r="BP73" i="8"/>
  <c r="BT73" i="8" s="1"/>
  <c r="BS73" i="8"/>
  <c r="BD71" i="8"/>
  <c r="AR71" i="8"/>
  <c r="BE71" i="8" s="1"/>
  <c r="BU71" i="8" s="1"/>
  <c r="CJ11" i="8"/>
  <c r="CL11" i="8"/>
  <c r="CP44" i="8"/>
  <c r="BS44" i="8"/>
  <c r="CD44" i="8"/>
  <c r="BO28" i="8"/>
  <c r="BS28" i="8" s="1"/>
  <c r="AG28" i="8"/>
  <c r="BN46" i="8"/>
  <c r="BX46" i="8"/>
  <c r="BQ46" i="8"/>
  <c r="CN46" i="8" s="1"/>
  <c r="BD49" i="8"/>
  <c r="AR49" i="8"/>
  <c r="BE49" i="8" s="1"/>
  <c r="BU49" i="8" s="1"/>
  <c r="BQ94" i="8"/>
  <c r="BN94" i="8"/>
  <c r="BR94" i="8" s="1"/>
  <c r="BC9" i="8"/>
  <c r="AR9" i="8"/>
  <c r="BE9" i="8" s="1"/>
  <c r="BJ9" i="8" s="1"/>
  <c r="BD87" i="8"/>
  <c r="AR87" i="8"/>
  <c r="BE87" i="8" s="1"/>
  <c r="W40" i="8"/>
  <c r="Y40" i="8"/>
  <c r="Z40" i="8"/>
  <c r="AE59" i="8"/>
  <c r="AD59" i="8"/>
  <c r="AP74" i="8"/>
  <c r="BC64" i="8"/>
  <c r="AR64" i="8"/>
  <c r="BE64" i="8" s="1"/>
  <c r="BU64" i="8" s="1"/>
  <c r="AG68" i="8"/>
  <c r="BO68" i="8"/>
  <c r="AD8" i="8"/>
  <c r="AE8" i="8"/>
  <c r="AF52" i="8"/>
  <c r="BO52" i="8"/>
  <c r="BU52" i="8"/>
  <c r="AE10" i="8"/>
  <c r="AG10" i="8" s="1"/>
  <c r="AD10" i="8"/>
  <c r="BS94" i="8"/>
  <c r="BP94" i="8"/>
  <c r="BT94" i="8" s="1"/>
  <c r="BJ31" i="8"/>
  <c r="BV31" i="8"/>
  <c r="BC96" i="8"/>
  <c r="AR96" i="8"/>
  <c r="BE96" i="8" s="1"/>
  <c r="BU96" i="8" s="1"/>
  <c r="BC40" i="8"/>
  <c r="CK40" i="8" s="1"/>
  <c r="AR33" i="8"/>
  <c r="BE33" i="8" s="1"/>
  <c r="BJ33" i="8" s="1"/>
  <c r="BK33" i="8" s="1"/>
  <c r="BU43" i="8"/>
  <c r="AG33" i="8"/>
  <c r="BO33" i="8"/>
  <c r="BC66" i="8"/>
  <c r="AR66" i="8"/>
  <c r="BE66" i="8" s="1"/>
  <c r="BU66" i="8" s="1"/>
  <c r="Z41" i="8"/>
  <c r="AB41" i="8" s="1"/>
  <c r="Y41" i="8"/>
  <c r="W41" i="8"/>
  <c r="CI24" i="8"/>
  <c r="BP98" i="8"/>
  <c r="BT98" i="8" s="1"/>
  <c r="Z85" i="8"/>
  <c r="Y85" i="8"/>
  <c r="CK50" i="8"/>
  <c r="BC42" i="8"/>
  <c r="AR42" i="8"/>
  <c r="BE42" i="8" s="1"/>
  <c r="BM78" i="8"/>
  <c r="CI78" i="8"/>
  <c r="AB75" i="8"/>
  <c r="AC75" i="8" s="1"/>
  <c r="BM75" i="8"/>
  <c r="BN75" i="8" s="1"/>
  <c r="BQ75" i="8"/>
  <c r="BR75" i="8" s="1"/>
  <c r="CJ62" i="8"/>
  <c r="AA62" i="8"/>
  <c r="AC62" i="8" s="1"/>
  <c r="AA53" i="8"/>
  <c r="BN91" i="8"/>
  <c r="BR91" i="8" s="1"/>
  <c r="CI89" i="8"/>
  <c r="AP28" i="8"/>
  <c r="AQ28" i="8"/>
  <c r="BD28" i="8" s="1"/>
  <c r="CL28" i="8" s="1"/>
  <c r="AR97" i="8"/>
  <c r="BE97" i="8" s="1"/>
  <c r="BU97" i="8" s="1"/>
  <c r="AR94" i="8"/>
  <c r="BE94" i="8" s="1"/>
  <c r="BU94" i="8" s="1"/>
  <c r="BD78" i="8"/>
  <c r="AR78" i="8"/>
  <c r="BE78" i="8" s="1"/>
  <c r="BU78" i="8" s="1"/>
  <c r="BC34" i="8"/>
  <c r="AR34" i="8"/>
  <c r="BE34" i="8" s="1"/>
  <c r="AR11" i="8"/>
  <c r="BE11" i="8" s="1"/>
  <c r="CK44" i="8"/>
  <c r="BQ70" i="8"/>
  <c r="BQ89" i="8"/>
  <c r="BR89" i="8" s="1"/>
  <c r="BU88" i="8"/>
  <c r="AF87" i="8"/>
  <c r="BS87" i="8"/>
  <c r="BT87" i="8" s="1"/>
  <c r="AC83" i="8"/>
  <c r="AE86" i="8"/>
  <c r="AD86" i="8"/>
  <c r="CK52" i="8"/>
  <c r="CI52" i="8"/>
  <c r="AF63" i="8"/>
  <c r="CL63" i="8"/>
  <c r="BO63" i="8"/>
  <c r="AR43" i="8"/>
  <c r="BE43" i="8" s="1"/>
  <c r="BO75" i="8"/>
  <c r="BP75" i="8" s="1"/>
  <c r="AC74" i="8"/>
  <c r="AR98" i="8"/>
  <c r="BE98" i="8" s="1"/>
  <c r="BU98" i="8" s="1"/>
  <c r="AQ73" i="8"/>
  <c r="BD73" i="8" s="1"/>
  <c r="BM74" i="8"/>
  <c r="AD34" i="8"/>
  <c r="AR48" i="8"/>
  <c r="BE48" i="8" s="1"/>
  <c r="AR68" i="8"/>
  <c r="BE68" i="8" s="1"/>
  <c r="BU68" i="8" s="1"/>
  <c r="CJ74" i="8"/>
  <c r="CK65" i="8"/>
  <c r="CJ48" i="8"/>
  <c r="AC98" i="8"/>
  <c r="BT44" i="8"/>
  <c r="CG44" i="8"/>
  <c r="CF44" i="8"/>
  <c r="CT61" i="8"/>
  <c r="CS61" i="8"/>
  <c r="CQ61" i="8"/>
  <c r="CP61" i="8"/>
  <c r="CQ30" i="8"/>
  <c r="CD29" i="8"/>
  <c r="BS29" i="8"/>
  <c r="BP29" i="8"/>
  <c r="CN29" i="8"/>
  <c r="CM61" i="8"/>
  <c r="CN61" i="8"/>
  <c r="BS50" i="8"/>
  <c r="CD50" i="8"/>
  <c r="BP50" i="8"/>
  <c r="CF7" i="8"/>
  <c r="BT7" i="8"/>
  <c r="CQ34" i="8"/>
  <c r="CA56" i="8"/>
  <c r="BR56" i="8"/>
  <c r="AC44" i="8"/>
  <c r="BV44" i="8"/>
  <c r="Y87" i="8"/>
  <c r="Z87" i="8"/>
  <c r="BS96" i="8"/>
  <c r="BP96" i="8"/>
  <c r="BT96" i="8" s="1"/>
  <c r="BW60" i="8"/>
  <c r="BV60" i="8"/>
  <c r="CM60" i="8"/>
  <c r="CO60" i="8" s="1"/>
  <c r="AG39" i="8"/>
  <c r="BO39" i="8"/>
  <c r="CK39" i="8"/>
  <c r="BU39" i="8"/>
  <c r="AR77" i="8"/>
  <c r="BE77" i="8" s="1"/>
  <c r="BU77" i="8" s="1"/>
  <c r="BC77" i="8"/>
  <c r="BC41" i="8"/>
  <c r="AR41" i="8"/>
  <c r="BE41" i="8" s="1"/>
  <c r="CD41" i="8"/>
  <c r="BS53" i="8"/>
  <c r="BP53" i="8"/>
  <c r="CN43" i="8"/>
  <c r="BP48" i="8"/>
  <c r="CD48" i="8"/>
  <c r="BQ32" i="8"/>
  <c r="BL52" i="8"/>
  <c r="BK52" i="8"/>
  <c r="CS7" i="8"/>
  <c r="BJ39" i="8"/>
  <c r="BV39" i="8"/>
  <c r="BC98" i="8"/>
  <c r="BV36" i="8"/>
  <c r="BJ36" i="8"/>
  <c r="CA61" i="8"/>
  <c r="BP80" i="8"/>
  <c r="BT80" i="8" s="1"/>
  <c r="BS80" i="8"/>
  <c r="CK30" i="8"/>
  <c r="BO30" i="8"/>
  <c r="BU30" i="8"/>
  <c r="BU7" i="8"/>
  <c r="CL7" i="8"/>
  <c r="AF7" i="8"/>
  <c r="AB84" i="8"/>
  <c r="AB86" i="8"/>
  <c r="AC86" i="8" s="1"/>
  <c r="BQ86" i="8"/>
  <c r="BR86" i="8" s="1"/>
  <c r="AA82" i="8"/>
  <c r="CJ82" i="8"/>
  <c r="BU11" i="8"/>
  <c r="AF11" i="8"/>
  <c r="BO11" i="8"/>
  <c r="BD65" i="8"/>
  <c r="AR65" i="8"/>
  <c r="BE65" i="8" s="1"/>
  <c r="BU65" i="8" s="1"/>
  <c r="CL9" i="8"/>
  <c r="CJ9" i="8"/>
  <c r="BD35" i="8"/>
  <c r="CL35" i="8" s="1"/>
  <c r="AR35" i="8"/>
  <c r="BE35" i="8" s="1"/>
  <c r="AB79" i="8"/>
  <c r="AC79" i="8" s="1"/>
  <c r="BU79" i="8"/>
  <c r="CI79" i="8"/>
  <c r="AR25" i="8"/>
  <c r="BE25" i="8" s="1"/>
  <c r="AD84" i="8"/>
  <c r="CC27" i="8"/>
  <c r="CE27" i="8" s="1"/>
  <c r="BP27" i="8"/>
  <c r="BD99" i="8"/>
  <c r="AR99" i="8"/>
  <c r="BE99" i="8" s="1"/>
  <c r="BU99" i="8" s="1"/>
  <c r="BC46" i="8"/>
  <c r="CI46" i="8" s="1"/>
  <c r="AR46" i="8"/>
  <c r="BE46" i="8" s="1"/>
  <c r="CJ34" i="8"/>
  <c r="AD55" i="8"/>
  <c r="AE55" i="8"/>
  <c r="AE60" i="8"/>
  <c r="AB33" i="8"/>
  <c r="AA24" i="8"/>
  <c r="AC24" i="8" s="1"/>
  <c r="BU24" i="8"/>
  <c r="I3" i="9"/>
  <c r="H25" i="9"/>
  <c r="P7" i="8"/>
  <c r="AU7" i="8"/>
  <c r="AX7" i="8" s="1"/>
  <c r="BH7" i="8" s="1"/>
  <c r="CT7" i="8" s="1"/>
  <c r="Z82" i="8"/>
  <c r="CG24" i="8"/>
  <c r="CH24" i="8" s="1"/>
  <c r="AG38" i="8"/>
  <c r="T54" i="8"/>
  <c r="E75" i="9"/>
  <c r="BM11" i="8"/>
  <c r="CC24" i="8"/>
  <c r="CE24" i="8" s="1"/>
  <c r="CL68" i="8"/>
  <c r="AP10" i="8"/>
  <c r="AB38" i="8"/>
  <c r="AC38" i="8" s="1"/>
  <c r="BM38" i="8"/>
  <c r="AR92" i="8"/>
  <c r="BE92" i="8" s="1"/>
  <c r="BU92" i="8" s="1"/>
  <c r="AR38" i="8"/>
  <c r="BE38" i="8" s="1"/>
  <c r="BC38" i="8"/>
  <c r="CI38" i="8" s="1"/>
  <c r="T58" i="8"/>
  <c r="E83" i="9"/>
  <c r="AD38" i="8"/>
  <c r="BY16" i="8" l="1"/>
  <c r="BY18" i="8"/>
  <c r="BV20" i="8"/>
  <c r="BV13" i="8"/>
  <c r="BJ13" i="8"/>
  <c r="CU15" i="8"/>
  <c r="BL20" i="8"/>
  <c r="CC20" i="8" s="1"/>
  <c r="BK20" i="8"/>
  <c r="CD20" i="8"/>
  <c r="BP20" i="8"/>
  <c r="CT23" i="8"/>
  <c r="BX23" i="8"/>
  <c r="BW23" i="8"/>
  <c r="BN23" i="8"/>
  <c r="CG23" i="8"/>
  <c r="BN20" i="8"/>
  <c r="BW20" i="8"/>
  <c r="BY20" i="8" s="1"/>
  <c r="BX20" i="8"/>
  <c r="BK23" i="8"/>
  <c r="BL23" i="8"/>
  <c r="CC23" i="8" s="1"/>
  <c r="CE23" i="8" s="1"/>
  <c r="BV23" i="8"/>
  <c r="BL19" i="8"/>
  <c r="BK19" i="8"/>
  <c r="BP16" i="8"/>
  <c r="CD16" i="8"/>
  <c r="BL17" i="8"/>
  <c r="CS17" i="8" s="1"/>
  <c r="CU17" i="8" s="1"/>
  <c r="BK17" i="8"/>
  <c r="CA18" i="8"/>
  <c r="BZ18" i="8"/>
  <c r="BZ16" i="8"/>
  <c r="CA16" i="8"/>
  <c r="CN18" i="8"/>
  <c r="CM18" i="8"/>
  <c r="CO18" i="8" s="1"/>
  <c r="BY17" i="8"/>
  <c r="BP18" i="8"/>
  <c r="CD18" i="8"/>
  <c r="BL18" i="8"/>
  <c r="CC18" i="8" s="1"/>
  <c r="BK18" i="8"/>
  <c r="BK16" i="8"/>
  <c r="BL16" i="8"/>
  <c r="CC16" i="8" s="1"/>
  <c r="CA17" i="8"/>
  <c r="BZ17" i="8"/>
  <c r="CB17" i="8" s="1"/>
  <c r="CO17" i="8"/>
  <c r="BX19" i="8"/>
  <c r="BW19" i="8"/>
  <c r="BY19" i="8" s="1"/>
  <c r="BN19" i="8"/>
  <c r="CM16" i="8"/>
  <c r="CN16" i="8"/>
  <c r="CF17" i="8"/>
  <c r="CG17" i="8"/>
  <c r="BL12" i="8"/>
  <c r="CM12" i="8" s="1"/>
  <c r="BK12" i="8"/>
  <c r="CN14" i="8"/>
  <c r="CM14" i="8"/>
  <c r="CA12" i="8"/>
  <c r="CO15" i="8"/>
  <c r="CG15" i="8"/>
  <c r="CF15" i="8"/>
  <c r="CH15" i="8" s="1"/>
  <c r="CD13" i="8"/>
  <c r="BP13" i="8"/>
  <c r="CQ13" i="8"/>
  <c r="BV15" i="8"/>
  <c r="BJ15" i="8"/>
  <c r="CE15" i="8"/>
  <c r="BU15" i="8"/>
  <c r="CA15" i="8"/>
  <c r="BZ15" i="8"/>
  <c r="BP14" i="8"/>
  <c r="CD14" i="8"/>
  <c r="BL14" i="8"/>
  <c r="CC14" i="8" s="1"/>
  <c r="BK14" i="8"/>
  <c r="CN12" i="8"/>
  <c r="CW12" i="8"/>
  <c r="BZ14" i="8"/>
  <c r="CB14" i="8" s="1"/>
  <c r="CA14" i="8"/>
  <c r="BW55" i="8"/>
  <c r="CA53" i="8"/>
  <c r="BY60" i="8"/>
  <c r="CM44" i="8"/>
  <c r="CO44" i="8" s="1"/>
  <c r="BL45" i="8"/>
  <c r="CA36" i="8"/>
  <c r="BZ53" i="8"/>
  <c r="CP43" i="8"/>
  <c r="CR43" i="8" s="1"/>
  <c r="BX53" i="8"/>
  <c r="AB42" i="8"/>
  <c r="AC42" i="8" s="1"/>
  <c r="BM42" i="8"/>
  <c r="AF40" i="8"/>
  <c r="BO40" i="8"/>
  <c r="CK38" i="8"/>
  <c r="CD28" i="8"/>
  <c r="CH44" i="8"/>
  <c r="BQ53" i="8"/>
  <c r="CM55" i="8"/>
  <c r="CO55" i="8" s="1"/>
  <c r="BX36" i="8"/>
  <c r="AA7" i="8"/>
  <c r="CA43" i="8"/>
  <c r="BQ84" i="8"/>
  <c r="BR84" i="8" s="1"/>
  <c r="CF58" i="8"/>
  <c r="BX55" i="8"/>
  <c r="BY55" i="8" s="1"/>
  <c r="BW53" i="8"/>
  <c r="BS66" i="8"/>
  <c r="BP66" i="8"/>
  <c r="BT66" i="8" s="1"/>
  <c r="BN68" i="8"/>
  <c r="BR68" i="8" s="1"/>
  <c r="BQ68" i="8"/>
  <c r="AB57" i="8"/>
  <c r="CI57" i="8"/>
  <c r="AC84" i="8"/>
  <c r="CM43" i="8"/>
  <c r="BN55" i="8"/>
  <c r="CA55" i="8" s="1"/>
  <c r="CG46" i="8"/>
  <c r="CH46" i="8" s="1"/>
  <c r="BX39" i="8"/>
  <c r="BN39" i="8"/>
  <c r="BN64" i="8"/>
  <c r="BR64" i="8" s="1"/>
  <c r="BQ64" i="8"/>
  <c r="BS79" i="8"/>
  <c r="BP79" i="8"/>
  <c r="BT79" i="8" s="1"/>
  <c r="CB61" i="8"/>
  <c r="BV32" i="8"/>
  <c r="BQ31" i="8"/>
  <c r="CN31" i="8" s="1"/>
  <c r="BN31" i="8"/>
  <c r="BM84" i="8"/>
  <c r="BN84" i="8" s="1"/>
  <c r="AA84" i="8"/>
  <c r="CR44" i="8"/>
  <c r="BM57" i="8"/>
  <c r="BP62" i="8"/>
  <c r="BT62" i="8" s="1"/>
  <c r="BS62" i="8"/>
  <c r="CS46" i="8"/>
  <c r="BS31" i="8"/>
  <c r="BW42" i="8"/>
  <c r="CH51" i="8"/>
  <c r="BK53" i="8"/>
  <c r="BW56" i="8"/>
  <c r="BY56" i="8" s="1"/>
  <c r="CC56" i="8"/>
  <c r="CE56" i="8" s="1"/>
  <c r="BR28" i="8"/>
  <c r="CQ28" i="8" s="1"/>
  <c r="CA28" i="8"/>
  <c r="CM29" i="8"/>
  <c r="CE54" i="8"/>
  <c r="BP9" i="8"/>
  <c r="BS9" i="8"/>
  <c r="BZ56" i="8"/>
  <c r="CB56" i="8" s="1"/>
  <c r="BQ7" i="8"/>
  <c r="CM7" i="8" s="1"/>
  <c r="BN7" i="8"/>
  <c r="BW7" i="8"/>
  <c r="BL33" i="8"/>
  <c r="BS72" i="8"/>
  <c r="BP72" i="8"/>
  <c r="BT72" i="8" s="1"/>
  <c r="BR29" i="8"/>
  <c r="CA29" i="8"/>
  <c r="BV42" i="8"/>
  <c r="CU61" i="8"/>
  <c r="CR53" i="8"/>
  <c r="CL42" i="8"/>
  <c r="BO42" i="8"/>
  <c r="AF42" i="8"/>
  <c r="BU42" i="8"/>
  <c r="BN35" i="8"/>
  <c r="BX35" i="8"/>
  <c r="BQ35" i="8"/>
  <c r="CN35" i="8" s="1"/>
  <c r="BJ37" i="8"/>
  <c r="BQ8" i="8"/>
  <c r="BN8" i="8"/>
  <c r="BX8" i="8"/>
  <c r="CG54" i="8"/>
  <c r="BT54" i="8"/>
  <c r="CF54" i="8"/>
  <c r="H5" i="9"/>
  <c r="G5" i="9"/>
  <c r="BW8" i="8"/>
  <c r="BY8" i="8" s="1"/>
  <c r="CG37" i="8"/>
  <c r="BT37" i="8"/>
  <c r="BW32" i="8"/>
  <c r="BY32" i="8" s="1"/>
  <c r="BN32" i="8"/>
  <c r="BJ27" i="8"/>
  <c r="BP28" i="8"/>
  <c r="CS54" i="8"/>
  <c r="CT54" i="8"/>
  <c r="G45" i="9"/>
  <c r="H45" i="9"/>
  <c r="BP70" i="8"/>
  <c r="BT70" i="8" s="1"/>
  <c r="BS70" i="8"/>
  <c r="CI59" i="8"/>
  <c r="AB59" i="8"/>
  <c r="AC59" i="8" s="1"/>
  <c r="BN65" i="8"/>
  <c r="BR65" i="8" s="1"/>
  <c r="BQ65" i="8"/>
  <c r="H85" i="9"/>
  <c r="G85" i="9"/>
  <c r="BM37" i="8"/>
  <c r="BU37" i="8"/>
  <c r="AA37" i="8"/>
  <c r="AC37" i="8" s="1"/>
  <c r="CJ37" i="8"/>
  <c r="BL30" i="8"/>
  <c r="BK30" i="8"/>
  <c r="BM59" i="8"/>
  <c r="BW59" i="8" s="1"/>
  <c r="CE58" i="8"/>
  <c r="BK50" i="8"/>
  <c r="BL50" i="8"/>
  <c r="BQ63" i="8"/>
  <c r="BN63" i="8"/>
  <c r="BR63" i="8" s="1"/>
  <c r="AC7" i="8"/>
  <c r="CV24" i="8"/>
  <c r="CW24" i="8"/>
  <c r="CS24" i="8"/>
  <c r="CT24" i="8"/>
  <c r="BL24" i="8"/>
  <c r="BW24" i="8" s="1"/>
  <c r="BY24" i="8" s="1"/>
  <c r="BK24" i="8"/>
  <c r="BV24" i="8"/>
  <c r="BT25" i="8"/>
  <c r="CG25" i="8"/>
  <c r="CF25" i="8"/>
  <c r="AF34" i="8"/>
  <c r="BU34" i="8"/>
  <c r="BO34" i="8"/>
  <c r="BS63" i="8"/>
  <c r="BP63" i="8"/>
  <c r="BT63" i="8" s="1"/>
  <c r="CK42" i="8"/>
  <c r="CI42" i="8"/>
  <c r="BM41" i="8"/>
  <c r="AA41" i="8"/>
  <c r="AC41" i="8" s="1"/>
  <c r="CJ41" i="8"/>
  <c r="BU41" i="8"/>
  <c r="CK59" i="8"/>
  <c r="AG59" i="8"/>
  <c r="BZ55" i="8"/>
  <c r="CW46" i="8"/>
  <c r="CV46" i="8"/>
  <c r="CJ39" i="8"/>
  <c r="CL39" i="8"/>
  <c r="BT61" i="8"/>
  <c r="CF61" i="8"/>
  <c r="CG61" i="8"/>
  <c r="CE32" i="8"/>
  <c r="BN74" i="8"/>
  <c r="BR74" i="8" s="1"/>
  <c r="BQ74" i="8"/>
  <c r="BO10" i="8"/>
  <c r="AF10" i="8"/>
  <c r="BU10" i="8"/>
  <c r="CL10" i="8"/>
  <c r="AB40" i="8"/>
  <c r="CI40" i="8"/>
  <c r="CT44" i="8"/>
  <c r="CS44" i="8"/>
  <c r="CK85" i="8"/>
  <c r="AG85" i="8"/>
  <c r="CU46" i="8"/>
  <c r="CS56" i="8"/>
  <c r="CT56" i="8"/>
  <c r="CT32" i="8"/>
  <c r="CS32" i="8"/>
  <c r="AF85" i="8"/>
  <c r="BO85" i="8"/>
  <c r="BP85" i="8" s="1"/>
  <c r="BS85" i="8"/>
  <c r="BT85" i="8" s="1"/>
  <c r="CL85" i="8"/>
  <c r="CV51" i="8"/>
  <c r="CW51" i="8"/>
  <c r="CL34" i="8"/>
  <c r="AR73" i="8"/>
  <c r="BE73" i="8" s="1"/>
  <c r="BU73" i="8" s="1"/>
  <c r="BJ34" i="8"/>
  <c r="BV34" i="8"/>
  <c r="AB85" i="8"/>
  <c r="CI85" i="8"/>
  <c r="BR46" i="8"/>
  <c r="CQ46" i="8" s="1"/>
  <c r="CA46" i="8"/>
  <c r="AG57" i="8"/>
  <c r="CK57" i="8"/>
  <c r="CN53" i="8"/>
  <c r="CM53" i="8"/>
  <c r="BW29" i="8"/>
  <c r="BY29" i="8" s="1"/>
  <c r="BZ29" i="8"/>
  <c r="AA40" i="8"/>
  <c r="CJ40" i="8"/>
  <c r="BM40" i="8"/>
  <c r="BU40" i="8"/>
  <c r="BT32" i="8"/>
  <c r="CF32" i="8"/>
  <c r="CG32" i="8"/>
  <c r="CG7" i="8"/>
  <c r="CH7" i="8" s="1"/>
  <c r="CJ28" i="8"/>
  <c r="CI34" i="8"/>
  <c r="CK34" i="8"/>
  <c r="CD33" i="8"/>
  <c r="BP33" i="8"/>
  <c r="CF33" i="8" s="1"/>
  <c r="BS33" i="8"/>
  <c r="CT33" i="8" s="1"/>
  <c r="BP52" i="8"/>
  <c r="CD52" i="8"/>
  <c r="BS52" i="8"/>
  <c r="CT52" i="8" s="1"/>
  <c r="BC74" i="8"/>
  <c r="AR74" i="8"/>
  <c r="BE74" i="8" s="1"/>
  <c r="CI9" i="8"/>
  <c r="CK9" i="8"/>
  <c r="CL57" i="8"/>
  <c r="AF57" i="8"/>
  <c r="BO57" i="8"/>
  <c r="BU57" i="8"/>
  <c r="BY53" i="8"/>
  <c r="CN24" i="8"/>
  <c r="BN9" i="8"/>
  <c r="BX9" i="8"/>
  <c r="BQ9" i="8"/>
  <c r="CN9" i="8" s="1"/>
  <c r="BJ11" i="8"/>
  <c r="BV11" i="8"/>
  <c r="BV9" i="8"/>
  <c r="CU7" i="8"/>
  <c r="CR61" i="8"/>
  <c r="BU86" i="8"/>
  <c r="BS86" i="8"/>
  <c r="BT86" i="8" s="1"/>
  <c r="BO86" i="8"/>
  <c r="BP86" i="8" s="1"/>
  <c r="CL86" i="8"/>
  <c r="AF86" i="8"/>
  <c r="BV43" i="8"/>
  <c r="CP45" i="8"/>
  <c r="CQ45" i="8"/>
  <c r="CE53" i="8"/>
  <c r="CD31" i="8"/>
  <c r="BS43" i="8"/>
  <c r="CC43" i="8"/>
  <c r="BP43" i="8"/>
  <c r="CD43" i="8"/>
  <c r="CA24" i="8"/>
  <c r="BR24" i="8"/>
  <c r="BT35" i="8"/>
  <c r="CW35" i="8" s="1"/>
  <c r="CG35" i="8"/>
  <c r="BQ72" i="8"/>
  <c r="BN72" i="8"/>
  <c r="BR72" i="8" s="1"/>
  <c r="BS68" i="8"/>
  <c r="BP68" i="8"/>
  <c r="BT68" i="8" s="1"/>
  <c r="AA85" i="8"/>
  <c r="BM85" i="8"/>
  <c r="BN85" i="8" s="1"/>
  <c r="BU85" i="8"/>
  <c r="BQ85" i="8"/>
  <c r="BR85" i="8" s="1"/>
  <c r="CJ85" i="8"/>
  <c r="AG86" i="8"/>
  <c r="CK86" i="8"/>
  <c r="AC53" i="8"/>
  <c r="BV53" i="8"/>
  <c r="BN78" i="8"/>
  <c r="BR78" i="8" s="1"/>
  <c r="BQ78" i="8"/>
  <c r="BL31" i="8"/>
  <c r="CS31" i="8" s="1"/>
  <c r="BK31" i="8"/>
  <c r="AG8" i="8"/>
  <c r="CK8" i="8"/>
  <c r="BK40" i="8"/>
  <c r="BL40" i="8"/>
  <c r="CN56" i="8"/>
  <c r="CM56" i="8"/>
  <c r="CC45" i="8"/>
  <c r="CE45" i="8" s="1"/>
  <c r="BW45" i="8"/>
  <c r="BY45" i="8" s="1"/>
  <c r="BZ45" i="8"/>
  <c r="CB45" i="8" s="1"/>
  <c r="CS45" i="8"/>
  <c r="CU45" i="8" s="1"/>
  <c r="CF45" i="8"/>
  <c r="CH45" i="8" s="1"/>
  <c r="CM45" i="8"/>
  <c r="CO45" i="8" s="1"/>
  <c r="BZ60" i="8"/>
  <c r="BR60" i="8"/>
  <c r="CA60" i="8"/>
  <c r="CE61" i="8"/>
  <c r="CG58" i="8"/>
  <c r="BT58" i="8"/>
  <c r="BC28" i="8"/>
  <c r="AR28" i="8"/>
  <c r="BE28" i="8" s="1"/>
  <c r="CE44" i="8"/>
  <c r="CO43" i="8"/>
  <c r="BJ48" i="8"/>
  <c r="BZ43" i="8"/>
  <c r="BW43" i="8"/>
  <c r="BY43" i="8" s="1"/>
  <c r="CL8" i="8"/>
  <c r="AF8" i="8"/>
  <c r="BO8" i="8"/>
  <c r="BU8" i="8"/>
  <c r="BO59" i="8"/>
  <c r="CL59" i="8"/>
  <c r="BU59" i="8"/>
  <c r="AF59" i="8"/>
  <c r="CD36" i="8"/>
  <c r="BP36" i="8"/>
  <c r="BS36" i="8"/>
  <c r="CT36" i="8" s="1"/>
  <c r="CJ33" i="8"/>
  <c r="BU33" i="8"/>
  <c r="AA33" i="8"/>
  <c r="AC33" i="8" s="1"/>
  <c r="BM33" i="8"/>
  <c r="CV45" i="8"/>
  <c r="CX45" i="8" s="1"/>
  <c r="CF56" i="8"/>
  <c r="BT56" i="8"/>
  <c r="CG56" i="8"/>
  <c r="CT58" i="8"/>
  <c r="CS58" i="8"/>
  <c r="AG55" i="8"/>
  <c r="CK55" i="8"/>
  <c r="CF27" i="8"/>
  <c r="BT27" i="8"/>
  <c r="CG27" i="8"/>
  <c r="CG29" i="8"/>
  <c r="BT29" i="8"/>
  <c r="CF29" i="8"/>
  <c r="AF84" i="8"/>
  <c r="CL84" i="8"/>
  <c r="BO84" i="8"/>
  <c r="BP84" i="8" s="1"/>
  <c r="BS84" i="8"/>
  <c r="BT84" i="8" s="1"/>
  <c r="BS30" i="8"/>
  <c r="CD30" i="8"/>
  <c r="BP30" i="8"/>
  <c r="CC30" i="8"/>
  <c r="CT28" i="8"/>
  <c r="CO29" i="8"/>
  <c r="CF50" i="8"/>
  <c r="BT50" i="8"/>
  <c r="CG50" i="8"/>
  <c r="CE29" i="8"/>
  <c r="BJ46" i="8"/>
  <c r="CT31" i="8"/>
  <c r="BT48" i="8"/>
  <c r="CG48" i="8"/>
  <c r="CF53" i="8"/>
  <c r="CG53" i="8"/>
  <c r="BT53" i="8"/>
  <c r="CB53" i="8"/>
  <c r="BJ41" i="8"/>
  <c r="BP39" i="8"/>
  <c r="BS39" i="8"/>
  <c r="CD39" i="8"/>
  <c r="AB87" i="8"/>
  <c r="CI87" i="8"/>
  <c r="BX38" i="8"/>
  <c r="BQ38" i="8"/>
  <c r="BN38" i="8"/>
  <c r="CL38" i="8"/>
  <c r="AF38" i="8"/>
  <c r="BO38" i="8"/>
  <c r="Z54" i="8"/>
  <c r="F75" i="9"/>
  <c r="G75" i="9" s="1"/>
  <c r="W54" i="8"/>
  <c r="I5" i="9"/>
  <c r="J3" i="9"/>
  <c r="I23" i="9"/>
  <c r="I73" i="9"/>
  <c r="I57" i="9"/>
  <c r="I15" i="9"/>
  <c r="I41" i="9"/>
  <c r="I25" i="9"/>
  <c r="I77" i="9"/>
  <c r="I45" i="9"/>
  <c r="I61" i="9"/>
  <c r="I29" i="9"/>
  <c r="I87" i="9"/>
  <c r="I85" i="9"/>
  <c r="I89" i="9"/>
  <c r="I81" i="9"/>
  <c r="I51" i="9"/>
  <c r="I79" i="9"/>
  <c r="I33" i="9"/>
  <c r="I49" i="9"/>
  <c r="I19" i="9"/>
  <c r="I53" i="9"/>
  <c r="I69" i="9"/>
  <c r="I35" i="9"/>
  <c r="I31" i="9"/>
  <c r="I17" i="9"/>
  <c r="I13" i="9"/>
  <c r="I59" i="9"/>
  <c r="I9" i="9"/>
  <c r="I63" i="9"/>
  <c r="I7" i="9"/>
  <c r="I11" i="9"/>
  <c r="I67" i="9"/>
  <c r="I27" i="9"/>
  <c r="I65" i="9"/>
  <c r="I43" i="9"/>
  <c r="I47" i="9"/>
  <c r="I71" i="9"/>
  <c r="I37" i="9"/>
  <c r="I55" i="9"/>
  <c r="I21" i="9"/>
  <c r="I39" i="9"/>
  <c r="CC52" i="8"/>
  <c r="CM52" i="8"/>
  <c r="CO52" i="8" s="1"/>
  <c r="CP52" i="8"/>
  <c r="CR52" i="8" s="1"/>
  <c r="BW52" i="8"/>
  <c r="BY52" i="8" s="1"/>
  <c r="BZ52" i="8"/>
  <c r="CB52" i="8" s="1"/>
  <c r="CS52" i="8"/>
  <c r="CU52" i="8" s="1"/>
  <c r="CF52" i="8"/>
  <c r="BT28" i="8"/>
  <c r="CG28" i="8"/>
  <c r="CS29" i="8"/>
  <c r="CT29" i="8"/>
  <c r="CV44" i="8"/>
  <c r="CW44" i="8"/>
  <c r="F83" i="9"/>
  <c r="H83" i="9" s="1"/>
  <c r="Z58" i="8"/>
  <c r="W58" i="8"/>
  <c r="BV25" i="8"/>
  <c r="BJ25" i="8"/>
  <c r="BU84" i="8"/>
  <c r="BV38" i="8"/>
  <c r="BJ38" i="8"/>
  <c r="CI82" i="8"/>
  <c r="AB82" i="8"/>
  <c r="AC82" i="8" s="1"/>
  <c r="BU82" i="8"/>
  <c r="BM82" i="8"/>
  <c r="BN82" i="8" s="1"/>
  <c r="BT31" i="8"/>
  <c r="CG31" i="8"/>
  <c r="CF31" i="8"/>
  <c r="BT9" i="8"/>
  <c r="CG9" i="8"/>
  <c r="CT53" i="8"/>
  <c r="CS53" i="8"/>
  <c r="CI41" i="8"/>
  <c r="CK41" i="8"/>
  <c r="CJ87" i="8"/>
  <c r="AA87" i="8"/>
  <c r="AC87" i="8" s="1"/>
  <c r="BM87" i="8"/>
  <c r="BN87" i="8" s="1"/>
  <c r="BU87" i="8"/>
  <c r="BQ87" i="8"/>
  <c r="BR87" i="8" s="1"/>
  <c r="CP56" i="8"/>
  <c r="CQ56" i="8"/>
  <c r="CT50" i="8"/>
  <c r="CS50" i="8"/>
  <c r="BL36" i="8"/>
  <c r="BK36" i="8"/>
  <c r="CD7" i="8"/>
  <c r="CE7" i="8" s="1"/>
  <c r="BX7" i="8"/>
  <c r="BY7" i="8" s="1"/>
  <c r="BV7" i="8"/>
  <c r="CA7" i="8"/>
  <c r="BP11" i="8"/>
  <c r="BS11" i="8"/>
  <c r="CD11" i="8"/>
  <c r="BL9" i="8"/>
  <c r="BK9" i="8"/>
  <c r="CT9" i="8"/>
  <c r="CS9" i="8"/>
  <c r="CU9" i="8" s="1"/>
  <c r="CN32" i="8"/>
  <c r="CM32" i="8"/>
  <c r="CJ35" i="8"/>
  <c r="AF55" i="8"/>
  <c r="CL55" i="8"/>
  <c r="BO55" i="8"/>
  <c r="BU55" i="8"/>
  <c r="BC10" i="8"/>
  <c r="AR10" i="8"/>
  <c r="BE10" i="8" s="1"/>
  <c r="BK39" i="8"/>
  <c r="BL39" i="8"/>
  <c r="CC39" i="8" s="1"/>
  <c r="BU38" i="8"/>
  <c r="BQ11" i="8"/>
  <c r="BN11" i="8"/>
  <c r="BX11" i="8"/>
  <c r="CK60" i="8"/>
  <c r="AG60" i="8"/>
  <c r="BU60" i="8"/>
  <c r="BO60" i="8"/>
  <c r="BV35" i="8"/>
  <c r="BJ35" i="8"/>
  <c r="BQ82" i="8"/>
  <c r="BR82" i="8" s="1"/>
  <c r="CW7" i="8"/>
  <c r="CV7" i="8"/>
  <c r="CO61" i="8"/>
  <c r="CE16" i="8" l="1"/>
  <c r="CE14" i="8"/>
  <c r="CO12" i="8"/>
  <c r="BL13" i="8"/>
  <c r="BK13" i="8"/>
  <c r="CS23" i="8"/>
  <c r="CU23" i="8" s="1"/>
  <c r="CF23" i="8"/>
  <c r="CH23" i="8" s="1"/>
  <c r="CC19" i="8"/>
  <c r="CE19" i="8" s="1"/>
  <c r="CS19" i="8"/>
  <c r="CU19" i="8" s="1"/>
  <c r="CV19" i="8"/>
  <c r="CX19" i="8" s="1"/>
  <c r="CF19" i="8"/>
  <c r="CH19" i="8" s="1"/>
  <c r="CC17" i="8"/>
  <c r="CE17" i="8" s="1"/>
  <c r="CV12" i="8"/>
  <c r="CX12" i="8" s="1"/>
  <c r="BW12" i="8"/>
  <c r="BY12" i="8" s="1"/>
  <c r="CC12" i="8"/>
  <c r="CE12" i="8" s="1"/>
  <c r="CS12" i="8"/>
  <c r="CU12" i="8" s="1"/>
  <c r="CF12" i="8"/>
  <c r="CH12" i="8" s="1"/>
  <c r="CE18" i="8"/>
  <c r="CA20" i="8"/>
  <c r="BZ20" i="8"/>
  <c r="CB20" i="8" s="1"/>
  <c r="CS20" i="8"/>
  <c r="CT20" i="8"/>
  <c r="CW23" i="8"/>
  <c r="CV23" i="8"/>
  <c r="CE20" i="8"/>
  <c r="CG20" i="8"/>
  <c r="CF20" i="8"/>
  <c r="CM20" i="8"/>
  <c r="CN20" i="8"/>
  <c r="CA23" i="8"/>
  <c r="BZ23" i="8"/>
  <c r="CB23" i="8" s="1"/>
  <c r="BY23" i="8"/>
  <c r="CN23" i="8"/>
  <c r="CM23" i="8"/>
  <c r="CN19" i="8"/>
  <c r="CM19" i="8"/>
  <c r="CQ16" i="8"/>
  <c r="CP16" i="8"/>
  <c r="CS16" i="8"/>
  <c r="CT16" i="8"/>
  <c r="CV17" i="8"/>
  <c r="CW17" i="8"/>
  <c r="CT18" i="8"/>
  <c r="CS18" i="8"/>
  <c r="CH17" i="8"/>
  <c r="CQ17" i="8"/>
  <c r="CP17" i="8"/>
  <c r="CB16" i="8"/>
  <c r="CQ18" i="8"/>
  <c r="CP18" i="8"/>
  <c r="CF16" i="8"/>
  <c r="CG16" i="8"/>
  <c r="CO16" i="8"/>
  <c r="CG18" i="8"/>
  <c r="CF18" i="8"/>
  <c r="CB18" i="8"/>
  <c r="BZ19" i="8"/>
  <c r="CA19" i="8"/>
  <c r="CT13" i="8"/>
  <c r="CS14" i="8"/>
  <c r="CT14" i="8"/>
  <c r="CP12" i="8"/>
  <c r="CQ12" i="8"/>
  <c r="CQ14" i="8"/>
  <c r="CP14" i="8"/>
  <c r="BZ12" i="8"/>
  <c r="CB12" i="8" s="1"/>
  <c r="CF13" i="8"/>
  <c r="CG13" i="8"/>
  <c r="BL15" i="8"/>
  <c r="BK15" i="8"/>
  <c r="CO14" i="8"/>
  <c r="CG14" i="8"/>
  <c r="CF14" i="8"/>
  <c r="CH14" i="8" s="1"/>
  <c r="CW15" i="8"/>
  <c r="CV15" i="8"/>
  <c r="CP15" i="8"/>
  <c r="CQ15" i="8"/>
  <c r="CB15" i="8"/>
  <c r="BR39" i="8"/>
  <c r="CQ39" i="8" s="1"/>
  <c r="CA39" i="8"/>
  <c r="AC57" i="8"/>
  <c r="BV57" i="8"/>
  <c r="BV41" i="8"/>
  <c r="CU31" i="8"/>
  <c r="BN57" i="8"/>
  <c r="BX57" i="8"/>
  <c r="BQ57" i="8"/>
  <c r="BW57" i="8"/>
  <c r="BP40" i="8"/>
  <c r="BS40" i="8"/>
  <c r="CT40" i="8" s="1"/>
  <c r="CD40" i="8"/>
  <c r="CB29" i="8"/>
  <c r="BR55" i="8"/>
  <c r="CP55" i="8" s="1"/>
  <c r="CF9" i="8"/>
  <c r="CH9" i="8" s="1"/>
  <c r="CH58" i="8"/>
  <c r="BQ42" i="8"/>
  <c r="BN42" i="8"/>
  <c r="BX42" i="8"/>
  <c r="BY42" i="8" s="1"/>
  <c r="CB43" i="8"/>
  <c r="CA31" i="8"/>
  <c r="BR31" i="8"/>
  <c r="CQ31" i="8" s="1"/>
  <c r="CX44" i="8"/>
  <c r="CN7" i="8"/>
  <c r="CO7" i="8" s="1"/>
  <c r="BJ73" i="8"/>
  <c r="CS33" i="8"/>
  <c r="CU33" i="8" s="1"/>
  <c r="CE52" i="8"/>
  <c r="CH54" i="8"/>
  <c r="CV54" i="8"/>
  <c r="CW54" i="8"/>
  <c r="CD42" i="8"/>
  <c r="BP42" i="8"/>
  <c r="BS42" i="8"/>
  <c r="CC42" i="8"/>
  <c r="CE42" i="8" s="1"/>
  <c r="G83" i="9"/>
  <c r="CR45" i="8"/>
  <c r="CW37" i="8"/>
  <c r="BV37" i="8"/>
  <c r="CC33" i="8"/>
  <c r="CE33" i="8" s="1"/>
  <c r="BV33" i="8"/>
  <c r="CO56" i="8"/>
  <c r="BR32" i="8"/>
  <c r="CA32" i="8"/>
  <c r="BZ32" i="8"/>
  <c r="BX37" i="8"/>
  <c r="BQ37" i="8"/>
  <c r="BN37" i="8"/>
  <c r="BL27" i="8"/>
  <c r="BK27" i="8"/>
  <c r="BL37" i="8"/>
  <c r="BK37" i="8"/>
  <c r="CB60" i="8"/>
  <c r="BX59" i="8"/>
  <c r="BY59" i="8" s="1"/>
  <c r="BQ59" i="8"/>
  <c r="BN59" i="8"/>
  <c r="BR7" i="8"/>
  <c r="BZ7" i="8"/>
  <c r="CB7" i="8" s="1"/>
  <c r="CA35" i="8"/>
  <c r="BR35" i="8"/>
  <c r="CQ35" i="8" s="1"/>
  <c r="CO32" i="8"/>
  <c r="CU56" i="8"/>
  <c r="CB55" i="8"/>
  <c r="BW30" i="8"/>
  <c r="BY30" i="8" s="1"/>
  <c r="BZ30" i="8"/>
  <c r="CB30" i="8" s="1"/>
  <c r="CM30" i="8"/>
  <c r="CO30" i="8" s="1"/>
  <c r="CP30" i="8"/>
  <c r="CR30" i="8" s="1"/>
  <c r="CU54" i="8"/>
  <c r="BR8" i="8"/>
  <c r="CA8" i="8"/>
  <c r="BZ8" i="8"/>
  <c r="CP29" i="8"/>
  <c r="CQ29" i="8"/>
  <c r="BV59" i="8"/>
  <c r="CM50" i="8"/>
  <c r="CO50" i="8" s="1"/>
  <c r="CC50" i="8"/>
  <c r="CE50" i="8" s="1"/>
  <c r="BW50" i="8"/>
  <c r="BY50" i="8" s="1"/>
  <c r="CP50" i="8"/>
  <c r="CR50" i="8" s="1"/>
  <c r="BZ50" i="8"/>
  <c r="CB50" i="8" s="1"/>
  <c r="CN8" i="8"/>
  <c r="CM8" i="8"/>
  <c r="CO8" i="8" s="1"/>
  <c r="BZ24" i="8"/>
  <c r="CB24" i="8" s="1"/>
  <c r="CM24" i="8"/>
  <c r="CO24" i="8" s="1"/>
  <c r="CH25" i="8"/>
  <c r="CU24" i="8"/>
  <c r="CX24" i="8"/>
  <c r="CV25" i="8"/>
  <c r="CW25" i="8"/>
  <c r="CQ60" i="8"/>
  <c r="CP60" i="8"/>
  <c r="CX7" i="8"/>
  <c r="CU29" i="8"/>
  <c r="BP8" i="8"/>
  <c r="BS8" i="8"/>
  <c r="CD8" i="8"/>
  <c r="CC8" i="8"/>
  <c r="BW31" i="8"/>
  <c r="BY31" i="8" s="1"/>
  <c r="CM31" i="8"/>
  <c r="CO31" i="8" s="1"/>
  <c r="BZ31" i="8"/>
  <c r="CP31" i="8"/>
  <c r="CR31" i="8" s="1"/>
  <c r="BT43" i="8"/>
  <c r="CF43" i="8"/>
  <c r="CG43" i="8"/>
  <c r="BP57" i="8"/>
  <c r="CD57" i="8"/>
  <c r="BS57" i="8"/>
  <c r="CC57" i="8"/>
  <c r="BU74" i="8"/>
  <c r="BJ74" i="8"/>
  <c r="BQ40" i="8"/>
  <c r="BN40" i="8"/>
  <c r="BW40" i="8"/>
  <c r="BX40" i="8"/>
  <c r="CX46" i="8"/>
  <c r="CV56" i="8"/>
  <c r="CW56" i="8"/>
  <c r="BR9" i="8"/>
  <c r="CQ9" i="8" s="1"/>
  <c r="CA9" i="8"/>
  <c r="CR56" i="8"/>
  <c r="CU53" i="8"/>
  <c r="CH50" i="8"/>
  <c r="CH56" i="8"/>
  <c r="CI28" i="8"/>
  <c r="CK28" i="8"/>
  <c r="CT43" i="8"/>
  <c r="CS43" i="8"/>
  <c r="AC40" i="8"/>
  <c r="BV40" i="8"/>
  <c r="BL34" i="8"/>
  <c r="CC34" i="8" s="1"/>
  <c r="BK34" i="8"/>
  <c r="BP10" i="8"/>
  <c r="CD10" i="8"/>
  <c r="BS10" i="8"/>
  <c r="CT10" i="8" s="1"/>
  <c r="CH61" i="8"/>
  <c r="CQ55" i="8"/>
  <c r="BN41" i="8"/>
  <c r="BQ41" i="8"/>
  <c r="CN41" i="8" s="1"/>
  <c r="BX41" i="8"/>
  <c r="BT36" i="8"/>
  <c r="CW36" i="8" s="1"/>
  <c r="CG36" i="8"/>
  <c r="BV28" i="8"/>
  <c r="BJ28" i="8"/>
  <c r="CE43" i="8"/>
  <c r="CW58" i="8"/>
  <c r="CV58" i="8"/>
  <c r="CC31" i="8"/>
  <c r="CE31" i="8" s="1"/>
  <c r="CU32" i="8"/>
  <c r="CU44" i="8"/>
  <c r="CV61" i="8"/>
  <c r="CW61" i="8"/>
  <c r="BP34" i="8"/>
  <c r="CD34" i="8"/>
  <c r="BS34" i="8"/>
  <c r="BN33" i="8"/>
  <c r="BX33" i="8"/>
  <c r="BQ33" i="8"/>
  <c r="BT52" i="8"/>
  <c r="CG52" i="8"/>
  <c r="CH52" i="8" s="1"/>
  <c r="CC40" i="8"/>
  <c r="CE40" i="8" s="1"/>
  <c r="CF40" i="8"/>
  <c r="CE30" i="8"/>
  <c r="CH29" i="8"/>
  <c r="CQ24" i="8"/>
  <c r="CP24" i="8"/>
  <c r="CH32" i="8"/>
  <c r="AC85" i="8"/>
  <c r="BW33" i="8"/>
  <c r="BY33" i="8" s="1"/>
  <c r="CU58" i="8"/>
  <c r="CD59" i="8"/>
  <c r="CC59" i="8"/>
  <c r="BP59" i="8"/>
  <c r="BS59" i="8"/>
  <c r="BK48" i="8"/>
  <c r="BL48" i="8"/>
  <c r="CV48" i="8" s="1"/>
  <c r="BK11" i="8"/>
  <c r="BL11" i="8"/>
  <c r="BZ11" i="8" s="1"/>
  <c r="BT33" i="8"/>
  <c r="CG33" i="8"/>
  <c r="CH33" i="8" s="1"/>
  <c r="CW32" i="8"/>
  <c r="CV32" i="8"/>
  <c r="CX32" i="8" s="1"/>
  <c r="CO53" i="8"/>
  <c r="CX51" i="8"/>
  <c r="CT11" i="8"/>
  <c r="BZ39" i="8"/>
  <c r="CB39" i="8" s="1"/>
  <c r="CP39" i="8"/>
  <c r="CR39" i="8" s="1"/>
  <c r="CM39" i="8"/>
  <c r="CO39" i="8" s="1"/>
  <c r="BW39" i="8"/>
  <c r="BY39" i="8" s="1"/>
  <c r="CD55" i="8"/>
  <c r="CC55" i="8"/>
  <c r="CE55" i="8" s="1"/>
  <c r="BP55" i="8"/>
  <c r="BS55" i="8"/>
  <c r="CW9" i="8"/>
  <c r="CV9" i="8"/>
  <c r="CX9" i="8" s="1"/>
  <c r="BM54" i="8"/>
  <c r="AB54" i="8"/>
  <c r="BU54" i="8"/>
  <c r="CI54" i="8"/>
  <c r="CN38" i="8"/>
  <c r="CS39" i="8"/>
  <c r="CT39" i="8"/>
  <c r="CW27" i="8"/>
  <c r="CV27" i="8"/>
  <c r="CD60" i="8"/>
  <c r="BP60" i="8"/>
  <c r="CC60" i="8"/>
  <c r="BS60" i="8"/>
  <c r="CG11" i="8"/>
  <c r="BT11" i="8"/>
  <c r="CE39" i="8"/>
  <c r="BK41" i="8"/>
  <c r="BL41" i="8"/>
  <c r="CH53" i="8"/>
  <c r="BW36" i="8"/>
  <c r="BY36" i="8" s="1"/>
  <c r="CM36" i="8"/>
  <c r="CO36" i="8" s="1"/>
  <c r="CC36" i="8"/>
  <c r="CE36" i="8" s="1"/>
  <c r="BZ36" i="8"/>
  <c r="CB36" i="8" s="1"/>
  <c r="CS36" i="8"/>
  <c r="CU36" i="8" s="1"/>
  <c r="CF36" i="8"/>
  <c r="CP36" i="8"/>
  <c r="CR36" i="8" s="1"/>
  <c r="CU50" i="8"/>
  <c r="CH31" i="8"/>
  <c r="CW28" i="8"/>
  <c r="I75" i="9"/>
  <c r="BS38" i="8"/>
  <c r="BP38" i="8"/>
  <c r="CD38" i="8"/>
  <c r="CG39" i="8"/>
  <c r="BT39" i="8"/>
  <c r="CF39" i="8"/>
  <c r="CH27" i="8"/>
  <c r="CI58" i="8"/>
  <c r="BU58" i="8"/>
  <c r="AB58" i="8"/>
  <c r="BM58" i="8"/>
  <c r="BR38" i="8"/>
  <c r="CA38" i="8"/>
  <c r="CW48" i="8"/>
  <c r="CW50" i="8"/>
  <c r="CV50" i="8"/>
  <c r="BW9" i="8"/>
  <c r="BY9" i="8" s="1"/>
  <c r="BZ9" i="8"/>
  <c r="CM9" i="8"/>
  <c r="CO9" i="8" s="1"/>
  <c r="CC9" i="8"/>
  <c r="CE9" i="8" s="1"/>
  <c r="CV31" i="8"/>
  <c r="CW31" i="8"/>
  <c r="BK46" i="8"/>
  <c r="BL46" i="8"/>
  <c r="I83" i="9"/>
  <c r="J25" i="9"/>
  <c r="J81" i="9"/>
  <c r="J69" i="9"/>
  <c r="J73" i="9"/>
  <c r="J15" i="9"/>
  <c r="J57" i="9"/>
  <c r="J7" i="9"/>
  <c r="K3" i="9"/>
  <c r="J65" i="9"/>
  <c r="J89" i="9"/>
  <c r="J33" i="9"/>
  <c r="J49" i="9"/>
  <c r="J41" i="9"/>
  <c r="J61" i="9"/>
  <c r="J53" i="9"/>
  <c r="J85" i="9"/>
  <c r="J27" i="9"/>
  <c r="J21" i="9"/>
  <c r="J67" i="9"/>
  <c r="J79" i="9"/>
  <c r="J63" i="9"/>
  <c r="J17" i="9"/>
  <c r="J77" i="9"/>
  <c r="J5" i="9"/>
  <c r="J45" i="9"/>
  <c r="J35" i="9"/>
  <c r="J13" i="9"/>
  <c r="J75" i="9"/>
  <c r="J55" i="9"/>
  <c r="J87" i="9"/>
  <c r="J23" i="9"/>
  <c r="J19" i="9"/>
  <c r="J51" i="9"/>
  <c r="J39" i="9"/>
  <c r="J43" i="9"/>
  <c r="J29" i="9"/>
  <c r="J37" i="9"/>
  <c r="J83" i="9"/>
  <c r="J59" i="9"/>
  <c r="J47" i="9"/>
  <c r="J31" i="9"/>
  <c r="J11" i="9"/>
  <c r="J71" i="9"/>
  <c r="J9" i="9"/>
  <c r="CF30" i="8"/>
  <c r="BT30" i="8"/>
  <c r="CG30" i="8"/>
  <c r="CV29" i="8"/>
  <c r="CW29" i="8"/>
  <c r="H75" i="9"/>
  <c r="CN11" i="8"/>
  <c r="CS30" i="8"/>
  <c r="CT30" i="8"/>
  <c r="BV10" i="8"/>
  <c r="BJ10" i="8"/>
  <c r="BK38" i="8"/>
  <c r="BL38" i="8"/>
  <c r="BW38" i="8" s="1"/>
  <c r="BY38" i="8" s="1"/>
  <c r="BL25" i="8"/>
  <c r="BK25" i="8"/>
  <c r="BL35" i="8"/>
  <c r="BK35" i="8"/>
  <c r="CA11" i="8"/>
  <c r="BR11" i="8"/>
  <c r="CI10" i="8"/>
  <c r="CK10" i="8"/>
  <c r="BL73" i="8"/>
  <c r="BK73" i="8"/>
  <c r="CV53" i="8"/>
  <c r="CW53" i="8"/>
  <c r="CU16" i="8" l="1"/>
  <c r="CH20" i="8"/>
  <c r="CB19" i="8"/>
  <c r="CR15" i="8"/>
  <c r="BW13" i="8"/>
  <c r="BY13" i="8" s="1"/>
  <c r="CC13" i="8"/>
  <c r="CE13" i="8" s="1"/>
  <c r="BZ13" i="8"/>
  <c r="CB13" i="8" s="1"/>
  <c r="CM13" i="8"/>
  <c r="CO13" i="8" s="1"/>
  <c r="CP13" i="8"/>
  <c r="CR13" i="8" s="1"/>
  <c r="CS13" i="8"/>
  <c r="CU20" i="8"/>
  <c r="CR18" i="8"/>
  <c r="CR16" i="8"/>
  <c r="CR14" i="8"/>
  <c r="CO20" i="8"/>
  <c r="CH16" i="8"/>
  <c r="CH13" i="8"/>
  <c r="CP23" i="8"/>
  <c r="CQ23" i="8"/>
  <c r="CX23" i="8"/>
  <c r="CO23" i="8"/>
  <c r="CW20" i="8"/>
  <c r="CV20" i="8"/>
  <c r="CQ20" i="8"/>
  <c r="CP20" i="8"/>
  <c r="CR20" i="8" s="1"/>
  <c r="CW18" i="8"/>
  <c r="CV18" i="8"/>
  <c r="CX18" i="8" s="1"/>
  <c r="CX17" i="8"/>
  <c r="CH18" i="8"/>
  <c r="CR17" i="8"/>
  <c r="CP19" i="8"/>
  <c r="CQ19" i="8"/>
  <c r="CW16" i="8"/>
  <c r="CV16" i="8"/>
  <c r="CU18" i="8"/>
  <c r="CO19" i="8"/>
  <c r="CU13" i="8"/>
  <c r="CX15" i="8"/>
  <c r="CR12" i="8"/>
  <c r="CV13" i="8"/>
  <c r="CW13" i="8"/>
  <c r="CW14" i="8"/>
  <c r="CV14" i="8"/>
  <c r="CU14" i="8"/>
  <c r="CA57" i="8"/>
  <c r="BZ57" i="8"/>
  <c r="CB57" i="8" s="1"/>
  <c r="BR57" i="8"/>
  <c r="BR42" i="8"/>
  <c r="CA42" i="8"/>
  <c r="BZ42" i="8"/>
  <c r="CB42" i="8" s="1"/>
  <c r="CS40" i="8"/>
  <c r="CU40" i="8" s="1"/>
  <c r="CE57" i="8"/>
  <c r="CB31" i="8"/>
  <c r="CN42" i="8"/>
  <c r="CM42" i="8"/>
  <c r="CG40" i="8"/>
  <c r="BT40" i="8"/>
  <c r="CH40" i="8"/>
  <c r="BY57" i="8"/>
  <c r="CM57" i="8"/>
  <c r="CN57" i="8"/>
  <c r="CX56" i="8"/>
  <c r="CR60" i="8"/>
  <c r="CB11" i="8"/>
  <c r="CX48" i="8"/>
  <c r="CX25" i="8"/>
  <c r="CR29" i="8"/>
  <c r="CE8" i="8"/>
  <c r="CB8" i="8"/>
  <c r="CT42" i="8"/>
  <c r="CS42" i="8"/>
  <c r="CM11" i="8"/>
  <c r="CX31" i="8"/>
  <c r="CX58" i="8"/>
  <c r="CP7" i="8"/>
  <c r="CQ7" i="8"/>
  <c r="CG42" i="8"/>
  <c r="BT42" i="8"/>
  <c r="CF42" i="8"/>
  <c r="CN59" i="8"/>
  <c r="CM59" i="8"/>
  <c r="CQ32" i="8"/>
  <c r="CP32" i="8"/>
  <c r="CN37" i="8"/>
  <c r="CM37" i="8"/>
  <c r="CP9" i="8"/>
  <c r="CR9" i="8" s="1"/>
  <c r="CC37" i="8"/>
  <c r="CE37" i="8" s="1"/>
  <c r="CF37" i="8"/>
  <c r="CH37" i="8" s="1"/>
  <c r="CS37" i="8"/>
  <c r="CU37" i="8" s="1"/>
  <c r="BR37" i="8"/>
  <c r="CA37" i="8"/>
  <c r="BZ37" i="8"/>
  <c r="BY40" i="8"/>
  <c r="CH39" i="8"/>
  <c r="CE59" i="8"/>
  <c r="BZ27" i="8"/>
  <c r="CB27" i="8" s="1"/>
  <c r="CP27" i="8"/>
  <c r="CR27" i="8" s="1"/>
  <c r="CM27" i="8"/>
  <c r="CO27" i="8" s="1"/>
  <c r="BW27" i="8"/>
  <c r="BY27" i="8" s="1"/>
  <c r="CB32" i="8"/>
  <c r="CV37" i="8"/>
  <c r="CX37" i="8" s="1"/>
  <c r="CX54" i="8"/>
  <c r="CH36" i="8"/>
  <c r="CQ8" i="8"/>
  <c r="CP8" i="8"/>
  <c r="CA59" i="8"/>
  <c r="BZ59" i="8"/>
  <c r="BR59" i="8"/>
  <c r="BW37" i="8"/>
  <c r="BY37" i="8" s="1"/>
  <c r="CR24" i="8"/>
  <c r="CV52" i="8"/>
  <c r="CW52" i="8"/>
  <c r="CS59" i="8"/>
  <c r="CT59" i="8"/>
  <c r="CF57" i="8"/>
  <c r="CG57" i="8"/>
  <c r="BT57" i="8"/>
  <c r="CG59" i="8"/>
  <c r="BT59" i="8"/>
  <c r="CF59" i="8"/>
  <c r="CS34" i="8"/>
  <c r="CT34" i="8"/>
  <c r="CU43" i="8"/>
  <c r="CA40" i="8"/>
  <c r="BR40" i="8"/>
  <c r="BZ40" i="8"/>
  <c r="CH43" i="8"/>
  <c r="CC11" i="8"/>
  <c r="CE11" i="8" s="1"/>
  <c r="BW11" i="8"/>
  <c r="BY11" i="8" s="1"/>
  <c r="BT34" i="8"/>
  <c r="CF34" i="8"/>
  <c r="CG34" i="8"/>
  <c r="BL74" i="8"/>
  <c r="BK74" i="8"/>
  <c r="CF11" i="8"/>
  <c r="CH11" i="8" s="1"/>
  <c r="CN33" i="8"/>
  <c r="CM33" i="8"/>
  <c r="BR41" i="8"/>
  <c r="CQ41" i="8" s="1"/>
  <c r="CA41" i="8"/>
  <c r="CM34" i="8"/>
  <c r="CO34" i="8" s="1"/>
  <c r="CP34" i="8"/>
  <c r="CR34" i="8" s="1"/>
  <c r="BZ34" i="8"/>
  <c r="CB34" i="8" s="1"/>
  <c r="BW34" i="8"/>
  <c r="BY34" i="8" s="1"/>
  <c r="CS8" i="8"/>
  <c r="CT8" i="8"/>
  <c r="CW33" i="8"/>
  <c r="CV33" i="8"/>
  <c r="BT10" i="8"/>
  <c r="CW10" i="8" s="1"/>
  <c r="CG10" i="8"/>
  <c r="CF8" i="8"/>
  <c r="BT8" i="8"/>
  <c r="CG8" i="8"/>
  <c r="CB9" i="8"/>
  <c r="CV36" i="8"/>
  <c r="CX36" i="8" s="1"/>
  <c r="CS11" i="8"/>
  <c r="CU11" i="8" s="1"/>
  <c r="BW48" i="8"/>
  <c r="BY48" i="8" s="1"/>
  <c r="CM48" i="8"/>
  <c r="CO48" i="8" s="1"/>
  <c r="CP48" i="8"/>
  <c r="CR48" i="8" s="1"/>
  <c r="CC48" i="8"/>
  <c r="CE48" i="8" s="1"/>
  <c r="BZ48" i="8"/>
  <c r="CB48" i="8" s="1"/>
  <c r="CF48" i="8"/>
  <c r="CH48" i="8" s="1"/>
  <c r="CS48" i="8"/>
  <c r="CU48" i="8" s="1"/>
  <c r="CX61" i="8"/>
  <c r="CR55" i="8"/>
  <c r="CT57" i="8"/>
  <c r="CS57" i="8"/>
  <c r="CN40" i="8"/>
  <c r="CM40" i="8"/>
  <c r="CE34" i="8"/>
  <c r="CV43" i="8"/>
  <c r="CW43" i="8"/>
  <c r="CH30" i="8"/>
  <c r="CA33" i="8"/>
  <c r="BR33" i="8"/>
  <c r="BZ33" i="8"/>
  <c r="BL28" i="8"/>
  <c r="BK28" i="8"/>
  <c r="CX29" i="8"/>
  <c r="BX58" i="8"/>
  <c r="BN58" i="8"/>
  <c r="BQ58" i="8"/>
  <c r="BW58" i="8"/>
  <c r="CQ11" i="8"/>
  <c r="CP11" i="8"/>
  <c r="AC58" i="8"/>
  <c r="BV58" i="8"/>
  <c r="CX27" i="8"/>
  <c r="BV54" i="8"/>
  <c r="AC54" i="8"/>
  <c r="CW30" i="8"/>
  <c r="CV30" i="8"/>
  <c r="L3" i="9"/>
  <c r="K89" i="9"/>
  <c r="K7" i="9"/>
  <c r="K77" i="9"/>
  <c r="K11" i="9"/>
  <c r="K23" i="9"/>
  <c r="K19" i="9"/>
  <c r="K49" i="9"/>
  <c r="K61" i="9"/>
  <c r="K53" i="9"/>
  <c r="K85" i="9"/>
  <c r="K65" i="9"/>
  <c r="K69" i="9"/>
  <c r="K5" i="9"/>
  <c r="K41" i="9"/>
  <c r="K15" i="9"/>
  <c r="K75" i="9"/>
  <c r="K55" i="9"/>
  <c r="K17" i="9"/>
  <c r="K25" i="9"/>
  <c r="K57" i="9"/>
  <c r="K21" i="9"/>
  <c r="K13" i="9"/>
  <c r="K29" i="9"/>
  <c r="K37" i="9"/>
  <c r="K45" i="9"/>
  <c r="K73" i="9"/>
  <c r="K47" i="9"/>
  <c r="K27" i="9"/>
  <c r="K33" i="9"/>
  <c r="K81" i="9"/>
  <c r="K39" i="9"/>
  <c r="K43" i="9"/>
  <c r="K51" i="9"/>
  <c r="K59" i="9"/>
  <c r="K87" i="9"/>
  <c r="K63" i="9"/>
  <c r="K35" i="9"/>
  <c r="K83" i="9"/>
  <c r="K79" i="9"/>
  <c r="K67" i="9"/>
  <c r="K31" i="9"/>
  <c r="K9" i="9"/>
  <c r="K71" i="9"/>
  <c r="CW11" i="8"/>
  <c r="CV11" i="8"/>
  <c r="BW54" i="8"/>
  <c r="BX54" i="8"/>
  <c r="BN54" i="8"/>
  <c r="BQ54" i="8"/>
  <c r="BK10" i="8"/>
  <c r="BL10" i="8"/>
  <c r="BW41" i="8"/>
  <c r="BY41" i="8" s="1"/>
  <c r="CF41" i="8"/>
  <c r="CH41" i="8" s="1"/>
  <c r="CC41" i="8"/>
  <c r="CE41" i="8" s="1"/>
  <c r="CM41" i="8"/>
  <c r="CO41" i="8" s="1"/>
  <c r="BZ41" i="8"/>
  <c r="CB41" i="8" s="1"/>
  <c r="CS41" i="8"/>
  <c r="CU41" i="8" s="1"/>
  <c r="CV41" i="8"/>
  <c r="CX41" i="8" s="1"/>
  <c r="CX53" i="8"/>
  <c r="CU30" i="8"/>
  <c r="BZ46" i="8"/>
  <c r="CB46" i="8" s="1"/>
  <c r="CM46" i="8"/>
  <c r="CO46" i="8" s="1"/>
  <c r="CP46" i="8"/>
  <c r="CR46" i="8" s="1"/>
  <c r="BW46" i="8"/>
  <c r="BY46" i="8" s="1"/>
  <c r="CV39" i="8"/>
  <c r="CW39" i="8"/>
  <c r="CF35" i="8"/>
  <c r="CH35" i="8" s="1"/>
  <c r="CM35" i="8"/>
  <c r="CO35" i="8" s="1"/>
  <c r="CV35" i="8"/>
  <c r="CX35" i="8" s="1"/>
  <c r="BZ35" i="8"/>
  <c r="CB35" i="8" s="1"/>
  <c r="BW35" i="8"/>
  <c r="BY35" i="8" s="1"/>
  <c r="CC35" i="8"/>
  <c r="CE35" i="8" s="1"/>
  <c r="CS35" i="8"/>
  <c r="CU35" i="8" s="1"/>
  <c r="CP35" i="8"/>
  <c r="CR35" i="8" s="1"/>
  <c r="CO11" i="8"/>
  <c r="CU39" i="8"/>
  <c r="CP38" i="8"/>
  <c r="CQ38" i="8"/>
  <c r="CT38" i="8"/>
  <c r="CS38" i="8"/>
  <c r="CX50" i="8"/>
  <c r="BZ38" i="8"/>
  <c r="CB38" i="8" s="1"/>
  <c r="CC38" i="8"/>
  <c r="CE38" i="8" s="1"/>
  <c r="CT60" i="8"/>
  <c r="CS60" i="8"/>
  <c r="CM38" i="8"/>
  <c r="CO38" i="8" s="1"/>
  <c r="CS55" i="8"/>
  <c r="CT55" i="8"/>
  <c r="CG38" i="8"/>
  <c r="BT38" i="8"/>
  <c r="CF38" i="8"/>
  <c r="BT60" i="8"/>
  <c r="CF60" i="8"/>
  <c r="CG60" i="8"/>
  <c r="BW25" i="8"/>
  <c r="BY25" i="8" s="1"/>
  <c r="BZ25" i="8"/>
  <c r="CB25" i="8" s="1"/>
  <c r="CM25" i="8"/>
  <c r="CO25" i="8" s="1"/>
  <c r="CP25" i="8"/>
  <c r="CR25" i="8" s="1"/>
  <c r="CE60" i="8"/>
  <c r="BT55" i="8"/>
  <c r="CF55" i="8"/>
  <c r="CG55" i="8"/>
  <c r="CX20" i="8" l="1"/>
  <c r="CR23" i="8"/>
  <c r="CR19" i="8"/>
  <c r="CX16" i="8"/>
  <c r="CX14" i="8"/>
  <c r="CX13" i="8"/>
  <c r="CR8" i="8"/>
  <c r="CB37" i="8"/>
  <c r="CP41" i="8"/>
  <c r="CR41" i="8" s="1"/>
  <c r="CW40" i="8"/>
  <c r="CV40" i="8"/>
  <c r="CX40" i="8" s="1"/>
  <c r="CP42" i="8"/>
  <c r="CQ42" i="8"/>
  <c r="CO57" i="8"/>
  <c r="CO42" i="8"/>
  <c r="CP57" i="8"/>
  <c r="CQ57" i="8"/>
  <c r="CR57" i="8" s="1"/>
  <c r="CH59" i="8"/>
  <c r="CH42" i="8"/>
  <c r="CR11" i="8"/>
  <c r="CX33" i="8"/>
  <c r="CB59" i="8"/>
  <c r="CR38" i="8"/>
  <c r="CH34" i="8"/>
  <c r="CH8" i="8"/>
  <c r="CU38" i="8"/>
  <c r="CH57" i="8"/>
  <c r="CO59" i="8"/>
  <c r="CP59" i="8"/>
  <c r="CQ59" i="8"/>
  <c r="CW42" i="8"/>
  <c r="CV42" i="8"/>
  <c r="CX30" i="8"/>
  <c r="CO40" i="8"/>
  <c r="CO37" i="8"/>
  <c r="CU57" i="8"/>
  <c r="CU8" i="8"/>
  <c r="CR32" i="8"/>
  <c r="CU42" i="8"/>
  <c r="CQ37" i="8"/>
  <c r="CP37" i="8"/>
  <c r="CR37" i="8" s="1"/>
  <c r="CR7" i="8"/>
  <c r="CH38" i="8"/>
  <c r="CX43" i="8"/>
  <c r="CB40" i="8"/>
  <c r="CU34" i="8"/>
  <c r="CS28" i="8"/>
  <c r="CU28" i="8" s="1"/>
  <c r="BW28" i="8"/>
  <c r="BY28" i="8" s="1"/>
  <c r="CP28" i="8"/>
  <c r="CR28" i="8" s="1"/>
  <c r="CF28" i="8"/>
  <c r="CH28" i="8" s="1"/>
  <c r="CV28" i="8"/>
  <c r="CX28" i="8" s="1"/>
  <c r="CC28" i="8"/>
  <c r="CE28" i="8" s="1"/>
  <c r="BZ28" i="8"/>
  <c r="CB28" i="8" s="1"/>
  <c r="CM28" i="8"/>
  <c r="CO28" i="8" s="1"/>
  <c r="CV34" i="8"/>
  <c r="CW34" i="8"/>
  <c r="CW59" i="8"/>
  <c r="CV59" i="8"/>
  <c r="CU59" i="8"/>
  <c r="CX11" i="8"/>
  <c r="BY58" i="8"/>
  <c r="CB33" i="8"/>
  <c r="CW8" i="8"/>
  <c r="CV8" i="8"/>
  <c r="CO33" i="8"/>
  <c r="CQ33" i="8"/>
  <c r="CP33" i="8"/>
  <c r="CR33" i="8" s="1"/>
  <c r="CQ40" i="8"/>
  <c r="CP40" i="8"/>
  <c r="CH55" i="8"/>
  <c r="CH60" i="8"/>
  <c r="CW57" i="8"/>
  <c r="CV57" i="8"/>
  <c r="CX52" i="8"/>
  <c r="CV38" i="8"/>
  <c r="CW38" i="8"/>
  <c r="BY54" i="8"/>
  <c r="BR54" i="8"/>
  <c r="BZ54" i="8"/>
  <c r="CA54" i="8"/>
  <c r="L69" i="9"/>
  <c r="L15" i="9"/>
  <c r="L49" i="9"/>
  <c r="L67" i="9"/>
  <c r="L47" i="9"/>
  <c r="L35" i="9"/>
  <c r="L83" i="9"/>
  <c r="L29" i="9"/>
  <c r="L7" i="9"/>
  <c r="L57" i="9"/>
  <c r="L19" i="9"/>
  <c r="L87" i="9"/>
  <c r="L59" i="9"/>
  <c r="L43" i="9"/>
  <c r="L39" i="9"/>
  <c r="L77" i="9"/>
  <c r="L85" i="9"/>
  <c r="L53" i="9"/>
  <c r="L25" i="9"/>
  <c r="L73" i="9"/>
  <c r="L81" i="9"/>
  <c r="L41" i="9"/>
  <c r="L89" i="9"/>
  <c r="L31" i="9"/>
  <c r="L21" i="9"/>
  <c r="L71" i="9"/>
  <c r="L9" i="9"/>
  <c r="L45" i="9"/>
  <c r="L61" i="9"/>
  <c r="L51" i="9"/>
  <c r="L79" i="9"/>
  <c r="L5" i="9"/>
  <c r="L23" i="9"/>
  <c r="L75" i="9"/>
  <c r="L55" i="9"/>
  <c r="L27" i="9"/>
  <c r="L63" i="9"/>
  <c r="L37" i="9"/>
  <c r="L13" i="9"/>
  <c r="L65" i="9"/>
  <c r="L11" i="9"/>
  <c r="L17" i="9"/>
  <c r="L33" i="9"/>
  <c r="M3" i="9"/>
  <c r="CX39" i="8"/>
  <c r="CM58" i="8"/>
  <c r="CN58" i="8"/>
  <c r="CU55" i="8"/>
  <c r="CM10" i="8"/>
  <c r="CO10" i="8" s="1"/>
  <c r="CC10" i="8"/>
  <c r="CE10" i="8" s="1"/>
  <c r="CF10" i="8"/>
  <c r="CH10" i="8" s="1"/>
  <c r="BZ10" i="8"/>
  <c r="CB10" i="8" s="1"/>
  <c r="CS10" i="8"/>
  <c r="CU10" i="8" s="1"/>
  <c r="CV10" i="8"/>
  <c r="CX10" i="8" s="1"/>
  <c r="CP10" i="8"/>
  <c r="CR10" i="8" s="1"/>
  <c r="BW10" i="8"/>
  <c r="BY10" i="8" s="1"/>
  <c r="CA58" i="8"/>
  <c r="BR58" i="8"/>
  <c r="BZ58" i="8"/>
  <c r="CV55" i="8"/>
  <c r="CW55" i="8"/>
  <c r="CV60" i="8"/>
  <c r="CW60" i="8"/>
  <c r="CU60" i="8"/>
  <c r="CN54" i="8"/>
  <c r="CM54" i="8"/>
  <c r="CR42" i="8" l="1"/>
  <c r="CR40" i="8"/>
  <c r="CX42" i="8"/>
  <c r="CR59" i="8"/>
  <c r="CX55" i="8"/>
  <c r="CX34" i="8"/>
  <c r="CX57" i="8"/>
  <c r="CX59" i="8"/>
  <c r="CX38" i="8"/>
  <c r="CX8" i="8"/>
  <c r="CO54" i="8"/>
  <c r="CP58" i="8"/>
  <c r="CQ58" i="8"/>
  <c r="CB54" i="8"/>
  <c r="CX60" i="8"/>
  <c r="CO58" i="8"/>
  <c r="CP54" i="8"/>
  <c r="CQ54" i="8"/>
  <c r="M75" i="9"/>
  <c r="M37" i="9"/>
  <c r="M17" i="9"/>
  <c r="M79" i="9"/>
  <c r="M35" i="9"/>
  <c r="M53" i="9"/>
  <c r="M23" i="9"/>
  <c r="M11" i="9"/>
  <c r="M59" i="9"/>
  <c r="M83" i="9"/>
  <c r="M27" i="9"/>
  <c r="M29" i="9"/>
  <c r="M81" i="9"/>
  <c r="M25" i="9"/>
  <c r="M71" i="9"/>
  <c r="M13" i="9"/>
  <c r="M33" i="9"/>
  <c r="M61" i="9"/>
  <c r="M5" i="9"/>
  <c r="M31" i="9"/>
  <c r="M47" i="9"/>
  <c r="M85" i="9"/>
  <c r="M73" i="9"/>
  <c r="M57" i="9"/>
  <c r="M55" i="9"/>
  <c r="M51" i="9"/>
  <c r="M65" i="9"/>
  <c r="M15" i="9"/>
  <c r="M45" i="9"/>
  <c r="M63" i="9"/>
  <c r="M9" i="9"/>
  <c r="N3" i="9"/>
  <c r="M89" i="9"/>
  <c r="M41" i="9"/>
  <c r="M19" i="9"/>
  <c r="M7" i="9"/>
  <c r="M49" i="9"/>
  <c r="M77" i="9"/>
  <c r="M69" i="9"/>
  <c r="M39" i="9"/>
  <c r="M87" i="9"/>
  <c r="M43" i="9"/>
  <c r="M21" i="9"/>
  <c r="M67" i="9"/>
  <c r="CB58" i="8"/>
  <c r="N69" i="9" l="1"/>
  <c r="N23" i="9"/>
  <c r="O3" i="9"/>
  <c r="N67" i="9"/>
  <c r="N39" i="9"/>
  <c r="N37" i="9"/>
  <c r="N11" i="9"/>
  <c r="N5" i="9"/>
  <c r="N17" i="9"/>
  <c r="N35" i="9"/>
  <c r="N21" i="9"/>
  <c r="N31" i="9"/>
  <c r="N53" i="9"/>
  <c r="N61" i="9"/>
  <c r="N43" i="9"/>
  <c r="N13" i="9"/>
  <c r="N27" i="9"/>
  <c r="N57" i="9"/>
  <c r="N25" i="9"/>
  <c r="N45" i="9"/>
  <c r="N71" i="9"/>
  <c r="N59" i="9"/>
  <c r="N79" i="9"/>
  <c r="N77" i="9"/>
  <c r="N89" i="9"/>
  <c r="N75" i="9"/>
  <c r="N73" i="9"/>
  <c r="N19" i="9"/>
  <c r="N55" i="9"/>
  <c r="N15" i="9"/>
  <c r="N65" i="9"/>
  <c r="N47" i="9"/>
  <c r="N81" i="9"/>
  <c r="N29" i="9"/>
  <c r="N87" i="9"/>
  <c r="N41" i="9"/>
  <c r="N83" i="9"/>
  <c r="N85" i="9"/>
  <c r="N49" i="9"/>
  <c r="N63" i="9"/>
  <c r="N51" i="9"/>
  <c r="N33" i="9"/>
  <c r="N7" i="9"/>
  <c r="N9" i="9"/>
  <c r="CR54" i="8"/>
  <c r="CR58" i="8"/>
  <c r="O85" i="9" l="1"/>
  <c r="O77" i="9"/>
  <c r="O63" i="9"/>
  <c r="O13" i="9"/>
  <c r="O17" i="9"/>
  <c r="O81" i="9"/>
  <c r="O5" i="9"/>
  <c r="O49" i="9"/>
  <c r="O47" i="9"/>
  <c r="O27" i="9"/>
  <c r="O61" i="9"/>
  <c r="O89" i="9"/>
  <c r="O53" i="9"/>
  <c r="O29" i="9"/>
  <c r="O39" i="9"/>
  <c r="O45" i="9"/>
  <c r="O41" i="9"/>
  <c r="O25" i="9"/>
  <c r="O75" i="9"/>
  <c r="O31" i="9"/>
  <c r="P3" i="9"/>
  <c r="O11" i="9"/>
  <c r="O87" i="9"/>
  <c r="O51" i="9"/>
  <c r="O21" i="9"/>
  <c r="O15" i="9"/>
  <c r="O19" i="9"/>
  <c r="O9" i="9"/>
  <c r="O59" i="9"/>
  <c r="O55" i="9"/>
  <c r="O23" i="9"/>
  <c r="O83" i="9"/>
  <c r="O65" i="9"/>
  <c r="O67" i="9"/>
  <c r="O57" i="9"/>
  <c r="O37" i="9"/>
  <c r="O33" i="9"/>
  <c r="O43" i="9"/>
  <c r="O71" i="9"/>
  <c r="O69" i="9"/>
  <c r="O73" i="9"/>
  <c r="O7" i="9"/>
  <c r="O35" i="9"/>
  <c r="O79" i="9"/>
  <c r="P57" i="9" l="1"/>
  <c r="P81" i="9"/>
  <c r="P69" i="9"/>
  <c r="P47" i="9"/>
  <c r="P87" i="9"/>
  <c r="P17" i="9"/>
  <c r="P77" i="9"/>
  <c r="P63" i="9"/>
  <c r="P41" i="9"/>
  <c r="P35" i="9"/>
  <c r="P9" i="9"/>
  <c r="P29" i="9"/>
  <c r="P65" i="9"/>
  <c r="P25" i="9"/>
  <c r="P89" i="9"/>
  <c r="P31" i="9"/>
  <c r="P75" i="9"/>
  <c r="P71" i="9"/>
  <c r="P73" i="9"/>
  <c r="P11" i="9"/>
  <c r="P61" i="9"/>
  <c r="P21" i="9"/>
  <c r="P51" i="9"/>
  <c r="P19" i="9"/>
  <c r="P83" i="9"/>
  <c r="P23" i="9"/>
  <c r="P43" i="9"/>
  <c r="P39" i="9"/>
  <c r="P7" i="9"/>
  <c r="P85" i="9"/>
  <c r="P33" i="9"/>
  <c r="P37" i="9"/>
  <c r="P45" i="9"/>
  <c r="P13" i="9"/>
  <c r="P5" i="9"/>
  <c r="P27" i="9"/>
  <c r="P15" i="9"/>
  <c r="P67" i="9"/>
  <c r="P79" i="9"/>
  <c r="P59" i="9"/>
  <c r="Q3" i="9"/>
  <c r="P53" i="9"/>
  <c r="P49" i="9"/>
  <c r="P55" i="9"/>
  <c r="Q41" i="9" l="1"/>
  <c r="Q55" i="9"/>
  <c r="Q11" i="9"/>
  <c r="Q51" i="9"/>
  <c r="Q57" i="9"/>
  <c r="Q7" i="9"/>
  <c r="Q27" i="9"/>
  <c r="Q89" i="9"/>
  <c r="Q59" i="9"/>
  <c r="Q39" i="9"/>
  <c r="Q77" i="9"/>
  <c r="Q35" i="9"/>
  <c r="Q79" i="9"/>
  <c r="Q21" i="9"/>
  <c r="Q19" i="9"/>
  <c r="Q45" i="9"/>
  <c r="Q87" i="9"/>
  <c r="Q69" i="9"/>
  <c r="Q37" i="9"/>
  <c r="Q61" i="9"/>
  <c r="Q25" i="9"/>
  <c r="Q23" i="9"/>
  <c r="Q49" i="9"/>
  <c r="Q83" i="9"/>
  <c r="Q33" i="9"/>
  <c r="Q71" i="9"/>
  <c r="R3" i="9"/>
  <c r="Q31" i="9"/>
  <c r="Q81" i="9"/>
  <c r="Q13" i="9"/>
  <c r="Q9" i="9"/>
  <c r="Q43" i="9"/>
  <c r="Q73" i="9"/>
  <c r="Q29" i="9"/>
  <c r="Q17" i="9"/>
  <c r="Q47" i="9"/>
  <c r="Q75" i="9"/>
  <c r="Q67" i="9"/>
  <c r="Q63" i="9"/>
  <c r="Q85" i="9"/>
  <c r="Q65" i="9"/>
  <c r="Q5" i="9"/>
  <c r="Q53" i="9"/>
  <c r="Q15" i="9"/>
  <c r="R81" i="9" l="1"/>
  <c r="R77" i="9"/>
  <c r="R83" i="9"/>
  <c r="R79" i="9"/>
  <c r="R59" i="9"/>
  <c r="R25" i="9"/>
  <c r="R61" i="9"/>
  <c r="R41" i="9"/>
  <c r="R75" i="9"/>
  <c r="R43" i="9"/>
  <c r="R9" i="9"/>
  <c r="R29" i="9"/>
  <c r="S3" i="9"/>
  <c r="R53" i="9"/>
  <c r="R21" i="9"/>
  <c r="R51" i="9"/>
  <c r="R55" i="9"/>
  <c r="R87" i="9"/>
  <c r="R5" i="9"/>
  <c r="R69" i="9"/>
  <c r="R17" i="9"/>
  <c r="R47" i="9"/>
  <c r="R35" i="9"/>
  <c r="R65" i="9"/>
  <c r="R89" i="9"/>
  <c r="R15" i="9"/>
  <c r="R13" i="9"/>
  <c r="R31" i="9"/>
  <c r="R33" i="9"/>
  <c r="R11" i="9"/>
  <c r="R37" i="9"/>
  <c r="R73" i="9"/>
  <c r="R63" i="9"/>
  <c r="R57" i="9"/>
  <c r="R67" i="9"/>
  <c r="R23" i="9"/>
  <c r="R39" i="9"/>
  <c r="R7" i="9"/>
  <c r="R85" i="9"/>
  <c r="R49" i="9"/>
  <c r="R71" i="9"/>
  <c r="R27" i="9"/>
  <c r="R45" i="9"/>
  <c r="R19" i="9"/>
  <c r="S43" i="9" l="1"/>
  <c r="S45" i="9"/>
  <c r="T3" i="9"/>
  <c r="S51" i="9"/>
  <c r="S37" i="9"/>
  <c r="S79" i="9"/>
  <c r="S19" i="9"/>
  <c r="S7" i="9"/>
  <c r="S77" i="9"/>
  <c r="S35" i="9"/>
  <c r="S33" i="9"/>
  <c r="S11" i="9"/>
  <c r="S57" i="9"/>
  <c r="S81" i="9"/>
  <c r="S61" i="9"/>
  <c r="S65" i="9"/>
  <c r="S73" i="9"/>
  <c r="S55" i="9"/>
  <c r="S83" i="9"/>
  <c r="S29" i="9"/>
  <c r="S25" i="9"/>
  <c r="S27" i="9"/>
  <c r="S75" i="9"/>
  <c r="S5" i="9"/>
  <c r="S21" i="9"/>
  <c r="S59" i="9"/>
  <c r="S15" i="9"/>
  <c r="S31" i="9"/>
  <c r="S67" i="9"/>
  <c r="S53" i="9"/>
  <c r="S13" i="9"/>
  <c r="S9" i="9"/>
  <c r="S85" i="9"/>
  <c r="S63" i="9"/>
  <c r="S69" i="9"/>
  <c r="S41" i="9"/>
  <c r="S23" i="9"/>
  <c r="S17" i="9"/>
  <c r="S87" i="9"/>
  <c r="S89" i="9"/>
  <c r="S71" i="9"/>
  <c r="S49" i="9"/>
  <c r="S47" i="9"/>
  <c r="S39" i="9"/>
  <c r="T29" i="9" l="1"/>
  <c r="T7" i="9"/>
  <c r="T19" i="9"/>
  <c r="T65" i="9"/>
  <c r="T55" i="9"/>
  <c r="T83" i="9"/>
  <c r="T53" i="9"/>
  <c r="T61" i="9"/>
  <c r="T11" i="9"/>
  <c r="T75" i="9"/>
  <c r="T9" i="9"/>
  <c r="T37" i="9"/>
  <c r="T71" i="9"/>
  <c r="T45" i="9"/>
  <c r="T43" i="9"/>
  <c r="T87" i="9"/>
  <c r="T73" i="9"/>
  <c r="T81" i="9"/>
  <c r="T67" i="9"/>
  <c r="T59" i="9"/>
  <c r="T31" i="9"/>
  <c r="T69" i="9"/>
  <c r="T47" i="9"/>
  <c r="T51" i="9"/>
  <c r="T89" i="9"/>
  <c r="T25" i="9"/>
  <c r="T63" i="9"/>
  <c r="T39" i="9"/>
  <c r="T49" i="9"/>
  <c r="T35" i="9"/>
  <c r="T33" i="9"/>
  <c r="T15" i="9"/>
  <c r="T27" i="9"/>
  <c r="T57" i="9"/>
  <c r="T77" i="9"/>
  <c r="U3" i="9"/>
  <c r="T23" i="9"/>
  <c r="T21" i="9"/>
  <c r="T41" i="9"/>
  <c r="T5" i="9"/>
  <c r="T85" i="9"/>
  <c r="T17" i="9"/>
  <c r="T79" i="9"/>
  <c r="T13" i="9"/>
  <c r="V3" i="9" l="1"/>
  <c r="U71" i="9"/>
  <c r="U41" i="9"/>
  <c r="U67" i="9"/>
  <c r="U33" i="9"/>
  <c r="U89" i="9"/>
  <c r="U45" i="9"/>
  <c r="U69" i="9"/>
  <c r="U55" i="9"/>
  <c r="U51" i="9"/>
  <c r="U49" i="9"/>
  <c r="U85" i="9"/>
  <c r="U21" i="9"/>
  <c r="U43" i="9"/>
  <c r="U11" i="9"/>
  <c r="U15" i="9"/>
  <c r="U39" i="9"/>
  <c r="U29" i="9"/>
  <c r="U63" i="9"/>
  <c r="U73" i="9"/>
  <c r="U27" i="9"/>
  <c r="U13" i="9"/>
  <c r="U25" i="9"/>
  <c r="U5" i="9"/>
  <c r="U75" i="9"/>
  <c r="U9" i="9"/>
  <c r="U65" i="9"/>
  <c r="U83" i="9"/>
  <c r="U53" i="9"/>
  <c r="U7" i="9"/>
  <c r="U59" i="9"/>
  <c r="U77" i="9"/>
  <c r="U57" i="9"/>
  <c r="U79" i="9"/>
  <c r="U61" i="9"/>
  <c r="U35" i="9"/>
  <c r="U37" i="9"/>
  <c r="U31" i="9"/>
  <c r="U81" i="9"/>
  <c r="U19" i="9"/>
  <c r="U47" i="9"/>
  <c r="U17" i="9"/>
  <c r="U87" i="9"/>
  <c r="U23" i="9"/>
  <c r="V37" i="9" l="1"/>
  <c r="V85" i="9"/>
  <c r="V89" i="9"/>
  <c r="V23" i="9"/>
  <c r="V39" i="9"/>
  <c r="V71" i="9"/>
  <c r="V81" i="9"/>
  <c r="V7" i="9"/>
  <c r="V87" i="9"/>
  <c r="V63" i="9"/>
  <c r="V13" i="9"/>
  <c r="V43" i="9"/>
  <c r="V57" i="9"/>
  <c r="V25" i="9"/>
  <c r="V45" i="9"/>
  <c r="V17" i="9"/>
  <c r="V65" i="9"/>
  <c r="V15" i="9"/>
  <c r="V79" i="9"/>
  <c r="V21" i="9"/>
  <c r="W3" i="9"/>
  <c r="V73" i="9"/>
  <c r="V59" i="9"/>
  <c r="V55" i="9"/>
  <c r="V9" i="9"/>
  <c r="V5" i="9"/>
  <c r="V35" i="9"/>
  <c r="V51" i="9"/>
  <c r="V53" i="9"/>
  <c r="V75" i="9"/>
  <c r="V61" i="9"/>
  <c r="V47" i="9"/>
  <c r="V19" i="9"/>
  <c r="V33" i="9"/>
  <c r="V29" i="9"/>
  <c r="V11" i="9"/>
  <c r="V41" i="9"/>
  <c r="V83" i="9"/>
  <c r="V27" i="9"/>
  <c r="V67" i="9"/>
  <c r="V31" i="9"/>
  <c r="V49" i="9"/>
  <c r="V77" i="9"/>
  <c r="V69" i="9"/>
  <c r="W7" i="9" l="1"/>
  <c r="W61" i="9"/>
  <c r="W77" i="9"/>
  <c r="W43" i="9"/>
  <c r="W13" i="9"/>
  <c r="W85" i="9"/>
  <c r="W49" i="9"/>
  <c r="W57" i="9"/>
  <c r="W83" i="9"/>
  <c r="W33" i="9"/>
  <c r="W75" i="9"/>
  <c r="W79" i="9"/>
  <c r="W11" i="9"/>
  <c r="W27" i="9"/>
  <c r="W59" i="9"/>
  <c r="W65" i="9"/>
  <c r="X3" i="9"/>
  <c r="W67" i="9"/>
  <c r="W21" i="9"/>
  <c r="W23" i="9"/>
  <c r="W19" i="9"/>
  <c r="W39" i="9"/>
  <c r="W9" i="9"/>
  <c r="W29" i="9"/>
  <c r="W89" i="9"/>
  <c r="W31" i="9"/>
  <c r="W35" i="9"/>
  <c r="W81" i="9"/>
  <c r="W17" i="9"/>
  <c r="W45" i="9"/>
  <c r="W51" i="9"/>
  <c r="W5" i="9"/>
  <c r="W87" i="9"/>
  <c r="W53" i="9"/>
  <c r="W73" i="9"/>
  <c r="W71" i="9"/>
  <c r="W25" i="9"/>
  <c r="W47" i="9"/>
  <c r="W63" i="9"/>
  <c r="W69" i="9"/>
  <c r="W41" i="9"/>
  <c r="W15" i="9"/>
  <c r="W55" i="9"/>
  <c r="W37" i="9"/>
  <c r="X37" i="9" l="1"/>
  <c r="X15" i="9"/>
  <c r="X57" i="9"/>
  <c r="X19" i="9"/>
  <c r="X71" i="9"/>
  <c r="X33" i="9"/>
  <c r="X61" i="9"/>
  <c r="X25" i="9"/>
  <c r="X49" i="9"/>
  <c r="X41" i="9"/>
  <c r="X27" i="9"/>
  <c r="X75" i="9"/>
  <c r="X89" i="9"/>
  <c r="X5" i="9"/>
  <c r="X31" i="9"/>
  <c r="X59" i="9"/>
  <c r="X53" i="9"/>
  <c r="X73" i="9"/>
  <c r="Y3" i="9"/>
  <c r="X87" i="9"/>
  <c r="X77" i="9"/>
  <c r="X13" i="9"/>
  <c r="X69" i="9"/>
  <c r="X83" i="9"/>
  <c r="X65" i="9"/>
  <c r="X9" i="9"/>
  <c r="X11" i="9"/>
  <c r="X63" i="9"/>
  <c r="X17" i="9"/>
  <c r="X29" i="9"/>
  <c r="X85" i="9"/>
  <c r="X39" i="9"/>
  <c r="X47" i="9"/>
  <c r="X43" i="9"/>
  <c r="X21" i="9"/>
  <c r="X55" i="9"/>
  <c r="X79" i="9"/>
  <c r="X81" i="9"/>
  <c r="X45" i="9"/>
  <c r="X23" i="9"/>
  <c r="X7" i="9"/>
  <c r="X67" i="9"/>
  <c r="X51" i="9"/>
  <c r="X35" i="9"/>
  <c r="Y69" i="9" l="1"/>
  <c r="Y11" i="9"/>
  <c r="Y23" i="9"/>
  <c r="Y67" i="9"/>
  <c r="Y13" i="9"/>
  <c r="Y7" i="9"/>
  <c r="Y81" i="9"/>
  <c r="Y79" i="9"/>
  <c r="Y55" i="9"/>
  <c r="Y87" i="9"/>
  <c r="Y77" i="9"/>
  <c r="Y45" i="9"/>
  <c r="Y75" i="9"/>
  <c r="Y39" i="9"/>
  <c r="Y85" i="9"/>
  <c r="Y49" i="9"/>
  <c r="Y35" i="9"/>
  <c r="Y51" i="9"/>
  <c r="Y71" i="9"/>
  <c r="Y53" i="9"/>
  <c r="Y73" i="9"/>
  <c r="Y59" i="9"/>
  <c r="Y27" i="9"/>
  <c r="Y89" i="9"/>
  <c r="Y5" i="9"/>
  <c r="Y9" i="9"/>
  <c r="Y43" i="9"/>
  <c r="Y41" i="9"/>
  <c r="Y31" i="9"/>
  <c r="Z3" i="9"/>
  <c r="Y29" i="9"/>
  <c r="Y65" i="9"/>
  <c r="Y83" i="9"/>
  <c r="Y19" i="9"/>
  <c r="Y37" i="9"/>
  <c r="Y61" i="9"/>
  <c r="Y21" i="9"/>
  <c r="Y63" i="9"/>
  <c r="Y15" i="9"/>
  <c r="Y57" i="9"/>
  <c r="Y47" i="9"/>
  <c r="Y17" i="9"/>
  <c r="Y33" i="9"/>
  <c r="Y25" i="9"/>
  <c r="Z29" i="9" l="1"/>
  <c r="Z55" i="9"/>
  <c r="Z15" i="9"/>
  <c r="Z67" i="9"/>
  <c r="Z9" i="9"/>
  <c r="Z75" i="9"/>
  <c r="Z89" i="9"/>
  <c r="Z73" i="9"/>
  <c r="Z7" i="9"/>
  <c r="Z79" i="9"/>
  <c r="Z35" i="9"/>
  <c r="Z43" i="9"/>
  <c r="Z11" i="9"/>
  <c r="Z25" i="9"/>
  <c r="Z21" i="9"/>
  <c r="Z33" i="9"/>
  <c r="Z81" i="9"/>
  <c r="Z77" i="9"/>
  <c r="Z39" i="9"/>
  <c r="Z51" i="9"/>
  <c r="Z37" i="9"/>
  <c r="Z23" i="9"/>
  <c r="Z65" i="9"/>
  <c r="Z83" i="9"/>
  <c r="Z57" i="9"/>
  <c r="Z5" i="9"/>
  <c r="AA3" i="9"/>
  <c r="Z47" i="9"/>
  <c r="Z69" i="9"/>
  <c r="Z31" i="9"/>
  <c r="Z53" i="9"/>
  <c r="Z59" i="9"/>
  <c r="Z45" i="9"/>
  <c r="Z63" i="9"/>
  <c r="Z85" i="9"/>
  <c r="Z87" i="9"/>
  <c r="Z41" i="9"/>
  <c r="Z17" i="9"/>
  <c r="Z27" i="9"/>
  <c r="Z13" i="9"/>
  <c r="Z71" i="9"/>
  <c r="Z61" i="9"/>
  <c r="Z49" i="9"/>
  <c r="Z19" i="9"/>
  <c r="AA61" i="9" l="1"/>
  <c r="AA73" i="9"/>
  <c r="AA15" i="9"/>
  <c r="AA51" i="9"/>
  <c r="AA13" i="9"/>
  <c r="AA19" i="9"/>
  <c r="AA77" i="9"/>
  <c r="AA23" i="9"/>
  <c r="AA17" i="9"/>
  <c r="AA71" i="9"/>
  <c r="AA41" i="9"/>
  <c r="AA5" i="9"/>
  <c r="AA83" i="9"/>
  <c r="AA39" i="9"/>
  <c r="AA11" i="9"/>
  <c r="AA89" i="9"/>
  <c r="AA35" i="9"/>
  <c r="AA9" i="9"/>
  <c r="AA37" i="9"/>
  <c r="AA81" i="9"/>
  <c r="AA53" i="9"/>
  <c r="AA59" i="9"/>
  <c r="AA55" i="9"/>
  <c r="AA29" i="9"/>
  <c r="AA69" i="9"/>
  <c r="AA65" i="9"/>
  <c r="AA75" i="9"/>
  <c r="AA87" i="9"/>
  <c r="AA57" i="9"/>
  <c r="AA47" i="9"/>
  <c r="AB3" i="9"/>
  <c r="AA31" i="9"/>
  <c r="AA7" i="9"/>
  <c r="AA27" i="9"/>
  <c r="AA25" i="9"/>
  <c r="AA67" i="9"/>
  <c r="AA43" i="9"/>
  <c r="AA63" i="9"/>
  <c r="AA21" i="9"/>
  <c r="AA33" i="9"/>
  <c r="AA85" i="9"/>
  <c r="AA45" i="9"/>
  <c r="AA79" i="9"/>
  <c r="AA49" i="9"/>
  <c r="AB37" i="9" l="1"/>
  <c r="AB81" i="9"/>
  <c r="AB15" i="9"/>
  <c r="AB11" i="9"/>
  <c r="AB27" i="9"/>
  <c r="AB63" i="9"/>
  <c r="AB57" i="9"/>
  <c r="AB7" i="9"/>
  <c r="AB45" i="9"/>
  <c r="AB43" i="9"/>
  <c r="AB71" i="9"/>
  <c r="AB59" i="9"/>
  <c r="AB25" i="9"/>
  <c r="AB23" i="9"/>
  <c r="AB39" i="9"/>
  <c r="AB75" i="9"/>
  <c r="AB41" i="9"/>
  <c r="AB51" i="9"/>
  <c r="AB83" i="9"/>
  <c r="AB33" i="9"/>
  <c r="AB65" i="9"/>
  <c r="AB19" i="9"/>
  <c r="AB17" i="9"/>
  <c r="AB9" i="9"/>
  <c r="AC3" i="9"/>
  <c r="AB85" i="9"/>
  <c r="AB55" i="9"/>
  <c r="AB87" i="9"/>
  <c r="AB5" i="9"/>
  <c r="AB31" i="9"/>
  <c r="AB53" i="9"/>
  <c r="AB21" i="9"/>
  <c r="AB89" i="9"/>
  <c r="AB79" i="9"/>
  <c r="AB49" i="9"/>
  <c r="AB13" i="9"/>
  <c r="AB69" i="9"/>
  <c r="AB47" i="9"/>
  <c r="AB29" i="9"/>
  <c r="AB35" i="9"/>
  <c r="AB77" i="9"/>
  <c r="AB61" i="9"/>
  <c r="AB73" i="9"/>
  <c r="AB67" i="9"/>
  <c r="AC49" i="9" l="1"/>
  <c r="AD3" i="9"/>
  <c r="AC65" i="9"/>
  <c r="AC67" i="9"/>
  <c r="AC9" i="9"/>
  <c r="AC61" i="9"/>
  <c r="AC81" i="9"/>
  <c r="AC63" i="9"/>
  <c r="AC83" i="9"/>
  <c r="AC31" i="9"/>
  <c r="AC45" i="9"/>
  <c r="AC53" i="9"/>
  <c r="AC17" i="9"/>
  <c r="AC71" i="9"/>
  <c r="AC15" i="9"/>
  <c r="AC47" i="9"/>
  <c r="AC59" i="9"/>
  <c r="AC51" i="9"/>
  <c r="AC41" i="9"/>
  <c r="AC5" i="9"/>
  <c r="AC27" i="9"/>
  <c r="AC29" i="9"/>
  <c r="AC11" i="9"/>
  <c r="AC57" i="9"/>
  <c r="AC21" i="9"/>
  <c r="AC79" i="9"/>
  <c r="AC85" i="9"/>
  <c r="AC37" i="9"/>
  <c r="AC77" i="9"/>
  <c r="AC39" i="9"/>
  <c r="AC25" i="9"/>
  <c r="AC13" i="9"/>
  <c r="AC7" i="9"/>
  <c r="AC75" i="9"/>
  <c r="AC19" i="9"/>
  <c r="AC35" i="9"/>
  <c r="AC89" i="9"/>
  <c r="AC69" i="9"/>
  <c r="AC73" i="9"/>
  <c r="AC23" i="9"/>
  <c r="AC55" i="9"/>
  <c r="AC33" i="9"/>
  <c r="AC87" i="9"/>
  <c r="AC43" i="9"/>
  <c r="AD75" i="9" l="1"/>
  <c r="AD59" i="9"/>
  <c r="AD47" i="9"/>
  <c r="AD81" i="9"/>
  <c r="AD61" i="9"/>
  <c r="AD25" i="9"/>
  <c r="AD53" i="9"/>
  <c r="AD55" i="9"/>
  <c r="AD63" i="9"/>
  <c r="AE3" i="9"/>
  <c r="AD23" i="9"/>
  <c r="AD65" i="9"/>
  <c r="AD87" i="9"/>
  <c r="AD51" i="9"/>
  <c r="AD85" i="9"/>
  <c r="AD57" i="9"/>
  <c r="AD41" i="9"/>
  <c r="AD9" i="9"/>
  <c r="AD21" i="9"/>
  <c r="AD69" i="9"/>
  <c r="AD89" i="9"/>
  <c r="AD7" i="9"/>
  <c r="AD29" i="9"/>
  <c r="AD33" i="9"/>
  <c r="AD17" i="9"/>
  <c r="AD45" i="9"/>
  <c r="AD27" i="9"/>
  <c r="AD19" i="9"/>
  <c r="AD83" i="9"/>
  <c r="AD39" i="9"/>
  <c r="AD5" i="9"/>
  <c r="AD35" i="9"/>
  <c r="AD37" i="9"/>
  <c r="AD67" i="9"/>
  <c r="AD31" i="9"/>
  <c r="AD11" i="9"/>
  <c r="AD79" i="9"/>
  <c r="AD49" i="9"/>
  <c r="AD73" i="9"/>
  <c r="AD15" i="9"/>
  <c r="AD71" i="9"/>
  <c r="AD43" i="9"/>
  <c r="AD77" i="9"/>
  <c r="AD13" i="9"/>
  <c r="AE57" i="9" l="1"/>
  <c r="AE73" i="9"/>
  <c r="AE49" i="9"/>
  <c r="AE39" i="9"/>
  <c r="AE21" i="9"/>
  <c r="AE35" i="9"/>
  <c r="AE89" i="9"/>
  <c r="AE15" i="9"/>
  <c r="AE19" i="9"/>
  <c r="AE13" i="9"/>
  <c r="AE37" i="9"/>
  <c r="AE51" i="9"/>
  <c r="AE41" i="9"/>
  <c r="AE25" i="9"/>
  <c r="AE61" i="9"/>
  <c r="AE9" i="9"/>
  <c r="AE63" i="9"/>
  <c r="AE23" i="9"/>
  <c r="AF3" i="9"/>
  <c r="AE45" i="9"/>
  <c r="AE59" i="9"/>
  <c r="AE55" i="9"/>
  <c r="AE77" i="9"/>
  <c r="AE75" i="9"/>
  <c r="AE43" i="9"/>
  <c r="AE11" i="9"/>
  <c r="AE67" i="9"/>
  <c r="AE53" i="9"/>
  <c r="AE27" i="9"/>
  <c r="AE33" i="9"/>
  <c r="AE85" i="9"/>
  <c r="AE79" i="9"/>
  <c r="AE69" i="9"/>
  <c r="AE83" i="9"/>
  <c r="AE29" i="9"/>
  <c r="AE65" i="9"/>
  <c r="AE7" i="9"/>
  <c r="AE17" i="9"/>
  <c r="AE87" i="9"/>
  <c r="AE31" i="9"/>
  <c r="AE47" i="9"/>
  <c r="AE5" i="9"/>
  <c r="AE71" i="9"/>
  <c r="AE81" i="9"/>
  <c r="AF7" i="9" l="1"/>
  <c r="AF5" i="9"/>
  <c r="AF59" i="9"/>
  <c r="AF27" i="9"/>
  <c r="AF33" i="9"/>
  <c r="AF79" i="9"/>
  <c r="AF53" i="9"/>
  <c r="AF23" i="9"/>
  <c r="AF87" i="9"/>
  <c r="AF75" i="9"/>
  <c r="AF81" i="9"/>
  <c r="AF49" i="9"/>
  <c r="AF73" i="9"/>
  <c r="AF47" i="9"/>
  <c r="AF29" i="9"/>
  <c r="AF51" i="9"/>
  <c r="AF77" i="9"/>
  <c r="AF15" i="9"/>
  <c r="AG3" i="9"/>
  <c r="AF35" i="9"/>
  <c r="AF37" i="9"/>
  <c r="AF17" i="9"/>
  <c r="AF85" i="9"/>
  <c r="AF31" i="9"/>
  <c r="AF45" i="9"/>
  <c r="AF11" i="9"/>
  <c r="AF39" i="9"/>
  <c r="AF25" i="9"/>
  <c r="AF57" i="9"/>
  <c r="AF21" i="9"/>
  <c r="AF19" i="9"/>
  <c r="AF69" i="9"/>
  <c r="AF43" i="9"/>
  <c r="AF61" i="9"/>
  <c r="AF9" i="9"/>
  <c r="AF55" i="9"/>
  <c r="AF65" i="9"/>
  <c r="AF41" i="9"/>
  <c r="AF13" i="9"/>
  <c r="AF67" i="9"/>
  <c r="AF83" i="9"/>
  <c r="AF89" i="9"/>
  <c r="AF63" i="9"/>
  <c r="AF71" i="9"/>
  <c r="AG85" i="9" l="1"/>
  <c r="AG69" i="9"/>
  <c r="AG77" i="9"/>
  <c r="AG41" i="9"/>
  <c r="AG55" i="9"/>
  <c r="AG51" i="9"/>
  <c r="AG65" i="9"/>
  <c r="AG45" i="9"/>
  <c r="AG17" i="9"/>
  <c r="AG63" i="9"/>
  <c r="AG39" i="9"/>
  <c r="AG29" i="9"/>
  <c r="AH3" i="9"/>
  <c r="AG75" i="9"/>
  <c r="AG15" i="9"/>
  <c r="AG43" i="9"/>
  <c r="AG67" i="9"/>
  <c r="AG11" i="9"/>
  <c r="AG81" i="9"/>
  <c r="AG83" i="9"/>
  <c r="AG33" i="9"/>
  <c r="AG73" i="9"/>
  <c r="AG61" i="9"/>
  <c r="AG59" i="9"/>
  <c r="AG7" i="9"/>
  <c r="AG49" i="9"/>
  <c r="AG31" i="9"/>
  <c r="AG53" i="9"/>
  <c r="AG19" i="9"/>
  <c r="AG21" i="9"/>
  <c r="AG87" i="9"/>
  <c r="AG89" i="9"/>
  <c r="AG79" i="9"/>
  <c r="AG9" i="9"/>
  <c r="AG47" i="9"/>
  <c r="AG37" i="9"/>
  <c r="AG25" i="9"/>
  <c r="AG23" i="9"/>
  <c r="AG5" i="9"/>
  <c r="AG35" i="9"/>
  <c r="AG27" i="9"/>
  <c r="AG57" i="9"/>
  <c r="AG71" i="9"/>
  <c r="AG13" i="9"/>
  <c r="AI3" i="9" l="1"/>
  <c r="AH67" i="9"/>
  <c r="AH25" i="9"/>
  <c r="AH79" i="9"/>
  <c r="AH17" i="9"/>
  <c r="AH23" i="9"/>
  <c r="AH73" i="9"/>
  <c r="AH11" i="9"/>
  <c r="AH37" i="9"/>
  <c r="AH43" i="9"/>
  <c r="AH85" i="9"/>
  <c r="AH89" i="9"/>
  <c r="AH41" i="9"/>
  <c r="AH21" i="9"/>
  <c r="AH69" i="9"/>
  <c r="AH9" i="9"/>
  <c r="AH83" i="9"/>
  <c r="AH47" i="9"/>
  <c r="AH49" i="9"/>
  <c r="AH77" i="9"/>
  <c r="AH75" i="9"/>
  <c r="AH31" i="9"/>
  <c r="AH53" i="9"/>
  <c r="AH19" i="9"/>
  <c r="AH51" i="9"/>
  <c r="AH29" i="9"/>
  <c r="AH65" i="9"/>
  <c r="AH61" i="9"/>
  <c r="AH13" i="9"/>
  <c r="AH55" i="9"/>
  <c r="AH27" i="9"/>
  <c r="AH71" i="9"/>
  <c r="AH45" i="9"/>
  <c r="AH39" i="9"/>
  <c r="AH15" i="9"/>
  <c r="AH87" i="9"/>
  <c r="AH5" i="9"/>
  <c r="AH59" i="9"/>
  <c r="AH7" i="9"/>
  <c r="AH63" i="9"/>
  <c r="AH57" i="9"/>
  <c r="AH81" i="9"/>
  <c r="AH33" i="9"/>
  <c r="AH35" i="9"/>
  <c r="AI35" i="9" l="1"/>
  <c r="AI89" i="9"/>
  <c r="AI55" i="9"/>
  <c r="AI19" i="9"/>
  <c r="AI39" i="9"/>
  <c r="AI43" i="9"/>
  <c r="AI85" i="9"/>
  <c r="AI61" i="9"/>
  <c r="AI69" i="9"/>
  <c r="AI83" i="9"/>
  <c r="AI31" i="9"/>
  <c r="AI13" i="9"/>
  <c r="AI33" i="9"/>
  <c r="AI47" i="9"/>
  <c r="AI23" i="9"/>
  <c r="AI21" i="9"/>
  <c r="AI77" i="9"/>
  <c r="AI5" i="9"/>
  <c r="AI79" i="9"/>
  <c r="AI27" i="9"/>
  <c r="AI25" i="9"/>
  <c r="AI81" i="9"/>
  <c r="AI45" i="9"/>
  <c r="AI71" i="9"/>
  <c r="AI73" i="9"/>
  <c r="AI41" i="9"/>
  <c r="AI75" i="9"/>
  <c r="AI67" i="9"/>
  <c r="AI7" i="9"/>
  <c r="AI15" i="9"/>
  <c r="AI63" i="9"/>
  <c r="AI51" i="9"/>
  <c r="AJ3" i="9"/>
  <c r="AI9" i="9"/>
  <c r="AI53" i="9"/>
  <c r="AI65" i="9"/>
  <c r="AI87" i="9"/>
  <c r="AI29" i="9"/>
  <c r="AI59" i="9"/>
  <c r="AI11" i="9"/>
  <c r="AI57" i="9"/>
  <c r="AI49" i="9"/>
  <c r="AI37" i="9"/>
  <c r="AI17" i="9"/>
  <c r="AJ41" i="9" l="1"/>
  <c r="AJ15" i="9"/>
  <c r="AJ57" i="9"/>
  <c r="AJ47" i="9"/>
  <c r="AJ59" i="9"/>
  <c r="AJ23" i="9"/>
  <c r="AJ89" i="9"/>
  <c r="AJ45" i="9"/>
  <c r="AJ31" i="9"/>
  <c r="AJ9" i="9"/>
  <c r="AJ39" i="9"/>
  <c r="AJ65" i="9"/>
  <c r="AK3" i="9"/>
  <c r="AJ75" i="9"/>
  <c r="AJ51" i="9"/>
  <c r="AJ33" i="9"/>
  <c r="AJ25" i="9"/>
  <c r="AJ5" i="9"/>
  <c r="AJ67" i="9"/>
  <c r="AJ87" i="9"/>
  <c r="AJ35" i="9"/>
  <c r="AJ19" i="9"/>
  <c r="AJ43" i="9"/>
  <c r="AJ63" i="9"/>
  <c r="AJ85" i="9"/>
  <c r="AJ73" i="9"/>
  <c r="AJ27" i="9"/>
  <c r="AJ13" i="9"/>
  <c r="AJ61" i="9"/>
  <c r="AJ11" i="9"/>
  <c r="AJ79" i="9"/>
  <c r="AJ71" i="9"/>
  <c r="AJ29" i="9"/>
  <c r="AJ7" i="9"/>
  <c r="AJ83" i="9"/>
  <c r="AJ53" i="9"/>
  <c r="AJ37" i="9"/>
  <c r="AJ81" i="9"/>
  <c r="AJ21" i="9"/>
  <c r="AJ77" i="9"/>
  <c r="AJ17" i="9"/>
  <c r="AJ49" i="9"/>
  <c r="AJ69" i="9"/>
  <c r="AJ55" i="9"/>
  <c r="AK55" i="9" l="1"/>
  <c r="AK19" i="9"/>
  <c r="AK57" i="9"/>
  <c r="AK13" i="9"/>
  <c r="AK17" i="9"/>
  <c r="AK67" i="9"/>
  <c r="AK77" i="9"/>
  <c r="AK5" i="9"/>
  <c r="AK69" i="9"/>
  <c r="AK87" i="9"/>
  <c r="AK47" i="9"/>
  <c r="AK39" i="9"/>
  <c r="AK45" i="9"/>
  <c r="AK81" i="9"/>
  <c r="AK21" i="9"/>
  <c r="AK37" i="9"/>
  <c r="AK85" i="9"/>
  <c r="AK41" i="9"/>
  <c r="AK29" i="9"/>
  <c r="AK71" i="9"/>
  <c r="AK33" i="9"/>
  <c r="AK25" i="9"/>
  <c r="AK7" i="9"/>
  <c r="AK35" i="9"/>
  <c r="AK49" i="9"/>
  <c r="AL3" i="9"/>
  <c r="AK63" i="9"/>
  <c r="AK31" i="9"/>
  <c r="AK73" i="9"/>
  <c r="AK53" i="9"/>
  <c r="AK51" i="9"/>
  <c r="AK79" i="9"/>
  <c r="AK61" i="9"/>
  <c r="AK27" i="9"/>
  <c r="AK23" i="9"/>
  <c r="AK15" i="9"/>
  <c r="AK59" i="9"/>
  <c r="AK43" i="9"/>
  <c r="AK83" i="9"/>
  <c r="AK75" i="9"/>
  <c r="AK11" i="9"/>
  <c r="AK65" i="9"/>
  <c r="AK89" i="9"/>
  <c r="AK9" i="9"/>
  <c r="AL69" i="9" l="1"/>
  <c r="AL73" i="9"/>
  <c r="AL7" i="9"/>
  <c r="AL47" i="9"/>
  <c r="AL29" i="9"/>
  <c r="AL45" i="9"/>
  <c r="AL21" i="9"/>
  <c r="AL55" i="9"/>
  <c r="AL71" i="9"/>
  <c r="AL35" i="9"/>
  <c r="AL5" i="9"/>
  <c r="AL15" i="9"/>
  <c r="AL75" i="9"/>
  <c r="AL59" i="9"/>
  <c r="AL57" i="9"/>
  <c r="AL89" i="9"/>
  <c r="AL43" i="9"/>
  <c r="AL9" i="9"/>
  <c r="AL37" i="9"/>
  <c r="AL77" i="9"/>
  <c r="AL49" i="9"/>
  <c r="AL83" i="9"/>
  <c r="AL67" i="9"/>
  <c r="AL33" i="9"/>
  <c r="AL65" i="9"/>
  <c r="AL63" i="9"/>
  <c r="AL51" i="9"/>
  <c r="AL87" i="9"/>
  <c r="AL27" i="9"/>
  <c r="AL25" i="9"/>
  <c r="AM3" i="9"/>
  <c r="AL39" i="9"/>
  <c r="AL61" i="9"/>
  <c r="AL81" i="9"/>
  <c r="AL19" i="9"/>
  <c r="AL85" i="9"/>
  <c r="AL17" i="9"/>
  <c r="AL23" i="9"/>
  <c r="AL13" i="9"/>
  <c r="AL11" i="9"/>
  <c r="AL31" i="9"/>
  <c r="AL79" i="9"/>
  <c r="AL41" i="9"/>
  <c r="AL53" i="9"/>
  <c r="AM77" i="9" l="1"/>
  <c r="AM49" i="9"/>
  <c r="AM5" i="9"/>
  <c r="AM59" i="9"/>
  <c r="AM87" i="9"/>
  <c r="AM33" i="9"/>
  <c r="AM63" i="9"/>
  <c r="AN3" i="9"/>
  <c r="AM71" i="9"/>
  <c r="AM35" i="9"/>
  <c r="AM43" i="9"/>
  <c r="AM9" i="9"/>
  <c r="AM57" i="9"/>
  <c r="AM73" i="9"/>
  <c r="AM13" i="9"/>
  <c r="AM55" i="9"/>
  <c r="AM89" i="9"/>
  <c r="AM45" i="9"/>
  <c r="AM39" i="9"/>
  <c r="AM27" i="9"/>
  <c r="AM69" i="9"/>
  <c r="AM11" i="9"/>
  <c r="AM83" i="9"/>
  <c r="AM75" i="9"/>
  <c r="AM15" i="9"/>
  <c r="AM53" i="9"/>
  <c r="AM47" i="9"/>
  <c r="AM79" i="9"/>
  <c r="AM37" i="9"/>
  <c r="AM81" i="9"/>
  <c r="AM65" i="9"/>
  <c r="AM31" i="9"/>
  <c r="AM61" i="9"/>
  <c r="AM51" i="9"/>
  <c r="AM19" i="9"/>
  <c r="AM85" i="9"/>
  <c r="AM23" i="9"/>
  <c r="AM21" i="9"/>
  <c r="AM17" i="9"/>
  <c r="AM29" i="9"/>
  <c r="AM67" i="9"/>
  <c r="AM41" i="9"/>
  <c r="AM25" i="9"/>
  <c r="AM7" i="9"/>
  <c r="AN5" i="9" l="1"/>
  <c r="AN15" i="9"/>
  <c r="AN19" i="9"/>
  <c r="AN13" i="9"/>
  <c r="AN37" i="9"/>
  <c r="AN77" i="9"/>
  <c r="AN85" i="9"/>
  <c r="AN51" i="9"/>
  <c r="AN35" i="9"/>
  <c r="AN55" i="9"/>
  <c r="AO3" i="9"/>
  <c r="AN7" i="9"/>
  <c r="AN79" i="9"/>
  <c r="AN47" i="9"/>
  <c r="AN61" i="9"/>
  <c r="AN81" i="9"/>
  <c r="AN9" i="9"/>
  <c r="AN31" i="9"/>
  <c r="AN45" i="9"/>
  <c r="AN41" i="9"/>
  <c r="AN87" i="9"/>
  <c r="AN67" i="9"/>
  <c r="AN23" i="9"/>
  <c r="AN53" i="9"/>
  <c r="AN27" i="9"/>
  <c r="AN59" i="9"/>
  <c r="AN33" i="9"/>
  <c r="AN11" i="9"/>
  <c r="AN65" i="9"/>
  <c r="AN43" i="9"/>
  <c r="AN71" i="9"/>
  <c r="AN21" i="9"/>
  <c r="AN89" i="9"/>
  <c r="AN17" i="9"/>
  <c r="AN69" i="9"/>
  <c r="AN75" i="9"/>
  <c r="AN49" i="9"/>
  <c r="AN83" i="9"/>
  <c r="AN57" i="9"/>
  <c r="AN63" i="9"/>
  <c r="AN25" i="9"/>
  <c r="AN73" i="9"/>
  <c r="AN39" i="9"/>
  <c r="AN29" i="9"/>
  <c r="AO53" i="9" l="1"/>
  <c r="AO77" i="9"/>
  <c r="AO5" i="9"/>
  <c r="AO45" i="9"/>
  <c r="AO75" i="9"/>
  <c r="AO79" i="9"/>
  <c r="AO81" i="9"/>
  <c r="AO61" i="9"/>
  <c r="AO85" i="9"/>
  <c r="AO23" i="9"/>
  <c r="AO63" i="9"/>
  <c r="AO35" i="9"/>
  <c r="AO41" i="9"/>
  <c r="AO13" i="9"/>
  <c r="AO89" i="9"/>
  <c r="AO83" i="9"/>
  <c r="AP3" i="9"/>
  <c r="AO69" i="9"/>
  <c r="AO55" i="9"/>
  <c r="AO9" i="9"/>
  <c r="AO15" i="9"/>
  <c r="AO7" i="9"/>
  <c r="AO49" i="9"/>
  <c r="AO33" i="9"/>
  <c r="AO47" i="9"/>
  <c r="AO57" i="9"/>
  <c r="AO19" i="9"/>
  <c r="AO29" i="9"/>
  <c r="AO31" i="9"/>
  <c r="AO43" i="9"/>
  <c r="AO27" i="9"/>
  <c r="AO21" i="9"/>
  <c r="AO71" i="9"/>
  <c r="AO17" i="9"/>
  <c r="AO39" i="9"/>
  <c r="AO73" i="9"/>
  <c r="AO59" i="9"/>
  <c r="AO67" i="9"/>
  <c r="AO51" i="9"/>
  <c r="AO65" i="9"/>
  <c r="AO25" i="9"/>
  <c r="AO11" i="9"/>
  <c r="AO87" i="9"/>
  <c r="AO37" i="9"/>
  <c r="AQ3" i="9" l="1"/>
  <c r="AP65" i="9"/>
  <c r="AP25" i="9"/>
  <c r="AP21" i="9"/>
  <c r="AP59" i="9"/>
  <c r="AP9" i="9"/>
  <c r="AP45" i="9"/>
  <c r="AP7" i="9"/>
  <c r="AP13" i="9"/>
  <c r="AP35" i="9"/>
  <c r="AP85" i="9"/>
  <c r="AP89" i="9"/>
  <c r="AP43" i="9"/>
  <c r="AP31" i="9"/>
  <c r="AP69" i="9"/>
  <c r="AP19" i="9"/>
  <c r="AP81" i="9"/>
  <c r="AP27" i="9"/>
  <c r="AP75" i="9"/>
  <c r="AP57" i="9"/>
  <c r="AP51" i="9"/>
  <c r="AP63" i="9"/>
  <c r="AP61" i="9"/>
  <c r="AP71" i="9"/>
  <c r="AP83" i="9"/>
  <c r="AP67" i="9"/>
  <c r="AP73" i="9"/>
  <c r="AP87" i="9"/>
  <c r="AP23" i="9"/>
  <c r="AP37" i="9"/>
  <c r="AP5" i="9"/>
  <c r="AP39" i="9"/>
  <c r="AP11" i="9"/>
  <c r="AP17" i="9"/>
  <c r="AP15" i="9"/>
  <c r="AP47" i="9"/>
  <c r="AP77" i="9"/>
  <c r="AP41" i="9"/>
  <c r="AP79" i="9"/>
  <c r="AP29" i="9"/>
  <c r="AP33" i="9"/>
  <c r="AP55" i="9"/>
  <c r="AP53" i="9"/>
  <c r="AP49" i="9"/>
  <c r="AQ89" i="9" l="1"/>
  <c r="AQ41" i="9"/>
  <c r="AQ13" i="9"/>
  <c r="AQ55" i="9"/>
  <c r="AQ27" i="9"/>
  <c r="AQ17" i="9"/>
  <c r="AQ61" i="9"/>
  <c r="AQ7" i="9"/>
  <c r="AQ57" i="9"/>
  <c r="AQ47" i="9"/>
  <c r="AQ51" i="9"/>
  <c r="AQ37" i="9"/>
  <c r="AQ29" i="9"/>
  <c r="AQ81" i="9"/>
  <c r="AQ23" i="9"/>
  <c r="AQ43" i="9"/>
  <c r="AQ45" i="9"/>
  <c r="AQ73" i="9"/>
  <c r="AQ75" i="9"/>
  <c r="AQ21" i="9"/>
  <c r="AQ5" i="9"/>
  <c r="AQ85" i="9"/>
  <c r="AQ39" i="9"/>
  <c r="AQ87" i="9"/>
  <c r="AQ53" i="9"/>
  <c r="AQ49" i="9"/>
  <c r="AQ31" i="9"/>
  <c r="AQ59" i="9"/>
  <c r="AQ77" i="9"/>
  <c r="AQ79" i="9"/>
  <c r="AQ25" i="9"/>
  <c r="AQ71" i="9"/>
  <c r="AQ11" i="9"/>
  <c r="AQ35" i="9"/>
  <c r="AQ15" i="9"/>
  <c r="AQ9" i="9"/>
  <c r="AQ65" i="9"/>
  <c r="AQ33" i="9"/>
  <c r="AQ63" i="9"/>
  <c r="AQ83" i="9"/>
  <c r="AR3" i="9"/>
  <c r="AQ19" i="9"/>
  <c r="AQ69" i="9"/>
  <c r="AQ67" i="9"/>
  <c r="AR23" i="9" l="1"/>
  <c r="AR77" i="9"/>
  <c r="AR75" i="9"/>
  <c r="AR37" i="9"/>
  <c r="AR39" i="9"/>
  <c r="AR7" i="9"/>
  <c r="AR45" i="9"/>
  <c r="AR25" i="9"/>
  <c r="AR17" i="9"/>
  <c r="AR79" i="9"/>
  <c r="AR29" i="9"/>
  <c r="AR73" i="9"/>
  <c r="AR19" i="9"/>
  <c r="AR87" i="9"/>
  <c r="AR21" i="9"/>
  <c r="AR57" i="9"/>
  <c r="AS3" i="9"/>
  <c r="AR5" i="9"/>
  <c r="AR9" i="9"/>
  <c r="AR51" i="9"/>
  <c r="AR65" i="9"/>
  <c r="AR15" i="9"/>
  <c r="AR35" i="9"/>
  <c r="AR33" i="9"/>
  <c r="AR47" i="9"/>
  <c r="AR69" i="9"/>
  <c r="AR27" i="9"/>
  <c r="AR63" i="9"/>
  <c r="AR53" i="9"/>
  <c r="AR67" i="9"/>
  <c r="AR81" i="9"/>
  <c r="AR71" i="9"/>
  <c r="AR61" i="9"/>
  <c r="AR13" i="9"/>
  <c r="AR11" i="9"/>
  <c r="AR43" i="9"/>
  <c r="AR41" i="9"/>
  <c r="AR59" i="9"/>
  <c r="AR89" i="9"/>
  <c r="AR85" i="9"/>
  <c r="AR49" i="9"/>
  <c r="AR55" i="9"/>
  <c r="AR31" i="9"/>
  <c r="AR83" i="9"/>
  <c r="AS37" i="9" l="1"/>
  <c r="AS57" i="9"/>
  <c r="AS61" i="9"/>
  <c r="AS5" i="9"/>
  <c r="AS51" i="9"/>
  <c r="AS87" i="9"/>
  <c r="AS85" i="9"/>
  <c r="AS15" i="9"/>
  <c r="AS59" i="9"/>
  <c r="AS79" i="9"/>
  <c r="AS17" i="9"/>
  <c r="AS25" i="9"/>
  <c r="AS55" i="9"/>
  <c r="AS33" i="9"/>
  <c r="AS69" i="9"/>
  <c r="AS19" i="9"/>
  <c r="AS31" i="9"/>
  <c r="AS21" i="9"/>
  <c r="AS77" i="9"/>
  <c r="AS41" i="9"/>
  <c r="AS71" i="9"/>
  <c r="AS29" i="9"/>
  <c r="AS13" i="9"/>
  <c r="AS65" i="9"/>
  <c r="AS11" i="9"/>
  <c r="AS45" i="9"/>
  <c r="AS47" i="9"/>
  <c r="AS49" i="9"/>
  <c r="AS7" i="9"/>
  <c r="AT3" i="9"/>
  <c r="AS81" i="9"/>
  <c r="AS9" i="9"/>
  <c r="AS75" i="9"/>
  <c r="AS73" i="9"/>
  <c r="AS43" i="9"/>
  <c r="AS23" i="9"/>
  <c r="AS39" i="9"/>
  <c r="AS27" i="9"/>
  <c r="AS83" i="9"/>
  <c r="AS89" i="9"/>
  <c r="AS53" i="9"/>
  <c r="AS35" i="9"/>
  <c r="AS63" i="9"/>
  <c r="AS67" i="9"/>
  <c r="AT49" i="9" l="1"/>
  <c r="AU3" i="9"/>
  <c r="AT23" i="9"/>
  <c r="AT11" i="9"/>
  <c r="AT31" i="9"/>
  <c r="AT57" i="9"/>
  <c r="AT81" i="9"/>
  <c r="AT79" i="9"/>
  <c r="AT61" i="9"/>
  <c r="AT13" i="9"/>
  <c r="AT65" i="9"/>
  <c r="AT45" i="9"/>
  <c r="AT41" i="9"/>
  <c r="AT67" i="9"/>
  <c r="AT39" i="9"/>
  <c r="AT33" i="9"/>
  <c r="AT59" i="9"/>
  <c r="AT5" i="9"/>
  <c r="AT9" i="9"/>
  <c r="AT27" i="9"/>
  <c r="AT63" i="9"/>
  <c r="AT55" i="9"/>
  <c r="AT77" i="9"/>
  <c r="AT17" i="9"/>
  <c r="AT85" i="9"/>
  <c r="AT73" i="9"/>
  <c r="AT37" i="9"/>
  <c r="AT71" i="9"/>
  <c r="AT21" i="9"/>
  <c r="AT51" i="9"/>
  <c r="AT89" i="9"/>
  <c r="AT69" i="9"/>
  <c r="AT83" i="9"/>
  <c r="AT47" i="9"/>
  <c r="AT43" i="9"/>
  <c r="AT35" i="9"/>
  <c r="AT7" i="9"/>
  <c r="AT25" i="9"/>
  <c r="AT15" i="9"/>
  <c r="AT53" i="9"/>
  <c r="AT87" i="9"/>
  <c r="AT19" i="9"/>
  <c r="AT29" i="9"/>
  <c r="AT75" i="9"/>
  <c r="AU53" i="9" l="1"/>
  <c r="AU89" i="9"/>
  <c r="AU49" i="9"/>
  <c r="AU9" i="9"/>
  <c r="AU27" i="9"/>
  <c r="AU75" i="9"/>
  <c r="AU81" i="9"/>
  <c r="AU61" i="9"/>
  <c r="AU23" i="9"/>
  <c r="AU43" i="9"/>
  <c r="AU13" i="9"/>
  <c r="AU37" i="9"/>
  <c r="AU65" i="9"/>
  <c r="AU73" i="9"/>
  <c r="AU83" i="9"/>
  <c r="AU21" i="9"/>
  <c r="AU33" i="9"/>
  <c r="AU47" i="9"/>
  <c r="AU45" i="9"/>
  <c r="AU11" i="9"/>
  <c r="AU85" i="9"/>
  <c r="AU77" i="9"/>
  <c r="AU29" i="9"/>
  <c r="AV3" i="9"/>
  <c r="AU25" i="9"/>
  <c r="AU39" i="9"/>
  <c r="AU17" i="9"/>
  <c r="AU41" i="9"/>
  <c r="AU31" i="9"/>
  <c r="AU5" i="9"/>
  <c r="AU19" i="9"/>
  <c r="AU79" i="9"/>
  <c r="AU59" i="9"/>
  <c r="AU51" i="9"/>
  <c r="AU55" i="9"/>
  <c r="AU57" i="9"/>
  <c r="AU15" i="9"/>
  <c r="AU87" i="9"/>
  <c r="AU67" i="9"/>
  <c r="AU7" i="9"/>
  <c r="AU69" i="9"/>
  <c r="AU35" i="9"/>
  <c r="AU71" i="9"/>
  <c r="AU63" i="9"/>
  <c r="AV49" i="9" l="1"/>
  <c r="AV23" i="9"/>
  <c r="AV55" i="9"/>
  <c r="AV41" i="9"/>
  <c r="AV39" i="9"/>
  <c r="AV73" i="9"/>
  <c r="AV9" i="9"/>
  <c r="AV89" i="9"/>
  <c r="AV75" i="9"/>
  <c r="AV31" i="9"/>
  <c r="AV7" i="9"/>
  <c r="AV81" i="9"/>
  <c r="AV45" i="9"/>
  <c r="AV47" i="9"/>
  <c r="AV17" i="9"/>
  <c r="AV29" i="9"/>
  <c r="AV53" i="9"/>
  <c r="AV65" i="9"/>
  <c r="AW3" i="9"/>
  <c r="AV33" i="9"/>
  <c r="AV71" i="9"/>
  <c r="AV87" i="9"/>
  <c r="AV5" i="9"/>
  <c r="AV35" i="9"/>
  <c r="AV61" i="9"/>
  <c r="AV77" i="9"/>
  <c r="AV67" i="9"/>
  <c r="AV59" i="9"/>
  <c r="AV63" i="9"/>
  <c r="AV13" i="9"/>
  <c r="AV57" i="9"/>
  <c r="AV15" i="9"/>
  <c r="AV51" i="9"/>
  <c r="AV25" i="9"/>
  <c r="AV37" i="9"/>
  <c r="AV21" i="9"/>
  <c r="AV19" i="9"/>
  <c r="AV11" i="9"/>
  <c r="AV83" i="9"/>
  <c r="AV43" i="9"/>
  <c r="AV79" i="9"/>
  <c r="AV27" i="9"/>
  <c r="AV85" i="9"/>
  <c r="AV69" i="9"/>
  <c r="AW37" i="9" l="1"/>
  <c r="AW9" i="9"/>
  <c r="AW49" i="9"/>
  <c r="AW89" i="9"/>
  <c r="AW27" i="9"/>
  <c r="AW55" i="9"/>
  <c r="AW29" i="9"/>
  <c r="AW81" i="9"/>
  <c r="AW23" i="9"/>
  <c r="AX3" i="9"/>
  <c r="AW21" i="9"/>
  <c r="AW87" i="9"/>
  <c r="AW85" i="9"/>
  <c r="AW47" i="9"/>
  <c r="AW51" i="9"/>
  <c r="AW69" i="9"/>
  <c r="AW31" i="9"/>
  <c r="AW33" i="9"/>
  <c r="AW65" i="9"/>
  <c r="AW19" i="9"/>
  <c r="AW45" i="9"/>
  <c r="AW15" i="9"/>
  <c r="AW71" i="9"/>
  <c r="AW7" i="9"/>
  <c r="AW13" i="9"/>
  <c r="AW75" i="9"/>
  <c r="AW79" i="9"/>
  <c r="AW63" i="9"/>
  <c r="AW59" i="9"/>
  <c r="AW53" i="9"/>
  <c r="AW5" i="9"/>
  <c r="AW35" i="9"/>
  <c r="AW25" i="9"/>
  <c r="AW11" i="9"/>
  <c r="AW83" i="9"/>
  <c r="AW17" i="9"/>
  <c r="AW61" i="9"/>
  <c r="AW77" i="9"/>
  <c r="AW73" i="9"/>
  <c r="AW57" i="9"/>
  <c r="AW41" i="9"/>
  <c r="AW39" i="9"/>
  <c r="AW67" i="9"/>
  <c r="AW43" i="9"/>
  <c r="AX49" i="9" l="1"/>
  <c r="AY3" i="9"/>
  <c r="AX25" i="9"/>
  <c r="AX55" i="9"/>
  <c r="AX29" i="9"/>
  <c r="AX45" i="9"/>
  <c r="AX11" i="9"/>
  <c r="AX7" i="9"/>
  <c r="AX67" i="9"/>
  <c r="AX63" i="9"/>
  <c r="AX17" i="9"/>
  <c r="AX83" i="9"/>
  <c r="AX41" i="9"/>
  <c r="AX35" i="9"/>
  <c r="AX59" i="9"/>
  <c r="AX33" i="9"/>
  <c r="AX57" i="9"/>
  <c r="AX61" i="9"/>
  <c r="AX5" i="9"/>
  <c r="AX31" i="9"/>
  <c r="AX75" i="9"/>
  <c r="AX51" i="9"/>
  <c r="AX47" i="9"/>
  <c r="AX27" i="9"/>
  <c r="AX89" i="9"/>
  <c r="AX13" i="9"/>
  <c r="AX21" i="9"/>
  <c r="AX65" i="9"/>
  <c r="AX79" i="9"/>
  <c r="AX43" i="9"/>
  <c r="AX15" i="9"/>
  <c r="AX77" i="9"/>
  <c r="AX39" i="9"/>
  <c r="AX81" i="9"/>
  <c r="AX53" i="9"/>
  <c r="AX71" i="9"/>
  <c r="AX87" i="9"/>
  <c r="AX73" i="9"/>
  <c r="AX85" i="9"/>
  <c r="AX69" i="9"/>
  <c r="AX19" i="9"/>
  <c r="AX37" i="9"/>
  <c r="AX23" i="9"/>
  <c r="AX9" i="9"/>
  <c r="AY29" i="9" l="1"/>
  <c r="AY57" i="9"/>
  <c r="AY45" i="9"/>
  <c r="AY9" i="9"/>
  <c r="AY63" i="9"/>
  <c r="AY33" i="9"/>
  <c r="AY87" i="9"/>
  <c r="AY77" i="9"/>
  <c r="AY23" i="9"/>
  <c r="AY79" i="9"/>
  <c r="AY13" i="9"/>
  <c r="AY35" i="9"/>
  <c r="AY65" i="9"/>
  <c r="AY41" i="9"/>
  <c r="AY51" i="9"/>
  <c r="AY53" i="9"/>
  <c r="AY83" i="9"/>
  <c r="AY43" i="9"/>
  <c r="AY25" i="9"/>
  <c r="AY19" i="9"/>
  <c r="AY61" i="9"/>
  <c r="AY67" i="9"/>
  <c r="AY59" i="9"/>
  <c r="AZ3" i="9"/>
  <c r="AY17" i="9"/>
  <c r="AY55" i="9"/>
  <c r="AY21" i="9"/>
  <c r="AY89" i="9"/>
  <c r="AY37" i="9"/>
  <c r="AY15" i="9"/>
  <c r="AY49" i="9"/>
  <c r="AY27" i="9"/>
  <c r="AY69" i="9"/>
  <c r="AY73" i="9"/>
  <c r="AY75" i="9"/>
  <c r="AY5" i="9"/>
  <c r="AY11" i="9"/>
  <c r="AY81" i="9"/>
  <c r="AY85" i="9"/>
  <c r="AY71" i="9"/>
  <c r="AY7" i="9"/>
  <c r="AY39" i="9"/>
  <c r="AY31" i="9"/>
  <c r="AY47" i="9"/>
  <c r="AZ45" i="9" l="1"/>
  <c r="AZ23" i="9"/>
  <c r="AZ41" i="9"/>
  <c r="AZ43" i="9"/>
  <c r="AZ31" i="9"/>
  <c r="AZ25" i="9"/>
  <c r="AZ15" i="9"/>
  <c r="AZ51" i="9"/>
  <c r="AZ27" i="9"/>
  <c r="AZ47" i="9"/>
  <c r="AZ7" i="9"/>
  <c r="AZ69" i="9"/>
  <c r="AZ17" i="9"/>
  <c r="AZ21" i="9"/>
  <c r="AZ33" i="9"/>
  <c r="AZ37" i="9"/>
  <c r="AZ53" i="9"/>
  <c r="AZ49" i="9"/>
  <c r="AZ89" i="9"/>
  <c r="AZ79" i="9"/>
  <c r="AZ39" i="9"/>
  <c r="AZ81" i="9"/>
  <c r="AZ65" i="9"/>
  <c r="AZ71" i="9"/>
  <c r="AZ67" i="9"/>
  <c r="AZ5" i="9"/>
  <c r="AZ13" i="9"/>
  <c r="AZ73" i="9"/>
  <c r="AZ83" i="9"/>
  <c r="AZ87" i="9"/>
  <c r="AZ85" i="9"/>
  <c r="AZ59" i="9"/>
  <c r="AZ57" i="9"/>
  <c r="BA3" i="9"/>
  <c r="AZ29" i="9"/>
  <c r="AZ61" i="9"/>
  <c r="AZ19" i="9"/>
  <c r="AZ11" i="9"/>
  <c r="AZ75" i="9"/>
  <c r="AZ63" i="9"/>
  <c r="AZ77" i="9"/>
  <c r="AZ35" i="9"/>
  <c r="AZ55" i="9"/>
  <c r="AZ9" i="9"/>
  <c r="BA37" i="9" l="1"/>
  <c r="BA41" i="9"/>
  <c r="BA21" i="9"/>
  <c r="BA11" i="9"/>
  <c r="BA33" i="9"/>
  <c r="BA19" i="9"/>
  <c r="BA13" i="9"/>
  <c r="BA85" i="9"/>
  <c r="BA31" i="9"/>
  <c r="BA29" i="9"/>
  <c r="BA89" i="9"/>
  <c r="BA57" i="9"/>
  <c r="BA45" i="9"/>
  <c r="BB3" i="9"/>
  <c r="BA35" i="9"/>
  <c r="BA43" i="9"/>
  <c r="BA55" i="9"/>
  <c r="BA79" i="9"/>
  <c r="BA15" i="9"/>
  <c r="BA7" i="9"/>
  <c r="BA67" i="9"/>
  <c r="BA81" i="9"/>
  <c r="BA51" i="9"/>
  <c r="BA69" i="9"/>
  <c r="BA73" i="9"/>
  <c r="BA9" i="9"/>
  <c r="BA25" i="9"/>
  <c r="BA23" i="9"/>
  <c r="BA87" i="9"/>
  <c r="BA53" i="9"/>
  <c r="BA75" i="9"/>
  <c r="BA47" i="9"/>
  <c r="BA77" i="9"/>
  <c r="BA83" i="9"/>
  <c r="BA63" i="9"/>
  <c r="BA65" i="9"/>
  <c r="BA17" i="9"/>
  <c r="BA49" i="9"/>
  <c r="BA5" i="9"/>
  <c r="BA61" i="9"/>
  <c r="BA59" i="9"/>
  <c r="BA39" i="9"/>
  <c r="BA27" i="9"/>
  <c r="BA71" i="9"/>
  <c r="BB43" i="9" l="1"/>
  <c r="BB19" i="9"/>
  <c r="BB49" i="9"/>
  <c r="BB35" i="9"/>
  <c r="BB47" i="9"/>
  <c r="BB7" i="9"/>
  <c r="BB57" i="9"/>
  <c r="BB81" i="9"/>
  <c r="BB21" i="9"/>
  <c r="BB33" i="9"/>
  <c r="BB23" i="9"/>
  <c r="BB41" i="9"/>
  <c r="BB45" i="9"/>
  <c r="BB55" i="9"/>
  <c r="BB53" i="9"/>
  <c r="BB13" i="9"/>
  <c r="BB15" i="9"/>
  <c r="BB17" i="9"/>
  <c r="BB83" i="9"/>
  <c r="BB79" i="9"/>
  <c r="BB87" i="9"/>
  <c r="BB9" i="9"/>
  <c r="BB29" i="9"/>
  <c r="BB65" i="9"/>
  <c r="BB71" i="9"/>
  <c r="BB75" i="9"/>
  <c r="BB63" i="9"/>
  <c r="BB51" i="9"/>
  <c r="BB25" i="9"/>
  <c r="BB5" i="9"/>
  <c r="BB67" i="9"/>
  <c r="BB37" i="9"/>
  <c r="BC3" i="9"/>
  <c r="BB89" i="9"/>
  <c r="BB85" i="9"/>
  <c r="BB61" i="9"/>
  <c r="BB39" i="9"/>
  <c r="BB59" i="9"/>
  <c r="BB31" i="9"/>
  <c r="BB73" i="9"/>
  <c r="BB27" i="9"/>
  <c r="BB11" i="9"/>
  <c r="BB77" i="9"/>
  <c r="BB69" i="9"/>
  <c r="BC57" i="9" l="1"/>
  <c r="BC79" i="9"/>
  <c r="BC63" i="9"/>
  <c r="BC49" i="9"/>
  <c r="BC27" i="9"/>
  <c r="BC51" i="9"/>
  <c r="BC81" i="9"/>
  <c r="BC69" i="9"/>
  <c r="BC15" i="9"/>
  <c r="BC55" i="9"/>
  <c r="BC31" i="9"/>
  <c r="BC67" i="9"/>
  <c r="BC59" i="9"/>
  <c r="BC5" i="9"/>
  <c r="BC21" i="9"/>
  <c r="BC35" i="9"/>
  <c r="BC47" i="9"/>
  <c r="BC53" i="9"/>
  <c r="BC71" i="9"/>
  <c r="BC13" i="9"/>
  <c r="BC7" i="9"/>
  <c r="BC73" i="9"/>
  <c r="BC45" i="9"/>
  <c r="BC83" i="9"/>
  <c r="BC19" i="9"/>
  <c r="BC77" i="9"/>
  <c r="BC23" i="9"/>
  <c r="BC33" i="9"/>
  <c r="BC89" i="9"/>
  <c r="BC61" i="9"/>
  <c r="BC9" i="9"/>
  <c r="BC29" i="9"/>
  <c r="BC41" i="9"/>
  <c r="BC39" i="9"/>
  <c r="BC25" i="9"/>
  <c r="BC11" i="9"/>
  <c r="BD3" i="9"/>
  <c r="BC17" i="9"/>
  <c r="BC85" i="9"/>
  <c r="BC75" i="9"/>
  <c r="BC43" i="9"/>
  <c r="BC87" i="9"/>
  <c r="BC37" i="9"/>
  <c r="BC65" i="9"/>
  <c r="BD43" i="9" l="1"/>
  <c r="BD15" i="9"/>
  <c r="BD21" i="9"/>
  <c r="BD19" i="9"/>
  <c r="BD75" i="9"/>
  <c r="BD7" i="9"/>
  <c r="BD81" i="9"/>
  <c r="BD89" i="9"/>
  <c r="BD27" i="9"/>
  <c r="BD67" i="9"/>
  <c r="BD63" i="9"/>
  <c r="BD13" i="9"/>
  <c r="BD5" i="9"/>
  <c r="BD37" i="9"/>
  <c r="BD49" i="9"/>
  <c r="BD65" i="9"/>
  <c r="BD53" i="9"/>
  <c r="BD59" i="9"/>
  <c r="BD11" i="9"/>
  <c r="BD23" i="9"/>
  <c r="BD69" i="9"/>
  <c r="BD31" i="9"/>
  <c r="BD57" i="9"/>
  <c r="BE3" i="9"/>
  <c r="BD73" i="9"/>
  <c r="BD83" i="9"/>
  <c r="BD87" i="9"/>
  <c r="BD77" i="9"/>
  <c r="BD35" i="9"/>
  <c r="BD29" i="9"/>
  <c r="BD55" i="9"/>
  <c r="BD85" i="9"/>
  <c r="BD17" i="9"/>
  <c r="BD79" i="9"/>
  <c r="BD71" i="9"/>
  <c r="BD61" i="9"/>
  <c r="BD39" i="9"/>
  <c r="BD9" i="9"/>
  <c r="BD51" i="9"/>
  <c r="BD33" i="9"/>
  <c r="BD41" i="9"/>
  <c r="BD25" i="9"/>
  <c r="BD47" i="9"/>
  <c r="BD45" i="9"/>
  <c r="BE55" i="9" l="1"/>
  <c r="BE77" i="9"/>
  <c r="BE23" i="9"/>
  <c r="BE7" i="9"/>
  <c r="BE51" i="9"/>
  <c r="BE13" i="9"/>
  <c r="BE61" i="9"/>
  <c r="BE45" i="9"/>
  <c r="BE67" i="9"/>
  <c r="BE49" i="9"/>
  <c r="BE39" i="9"/>
  <c r="BE29" i="9"/>
  <c r="BE79" i="9"/>
  <c r="BE19" i="9"/>
  <c r="BE69" i="9"/>
  <c r="BE27" i="9"/>
  <c r="BE47" i="9"/>
  <c r="BE17" i="9"/>
  <c r="BF3" i="9"/>
  <c r="BE75" i="9"/>
  <c r="BE25" i="9"/>
  <c r="BE85" i="9"/>
  <c r="BE89" i="9"/>
  <c r="BE83" i="9"/>
  <c r="BE15" i="9"/>
  <c r="BE73" i="9"/>
  <c r="BE21" i="9"/>
  <c r="BE71" i="9"/>
  <c r="BE5" i="9"/>
  <c r="BE53" i="9"/>
  <c r="BE11" i="9"/>
  <c r="BE37" i="9"/>
  <c r="BE57" i="9"/>
  <c r="BE63" i="9"/>
  <c r="BE41" i="9"/>
  <c r="BE87" i="9"/>
  <c r="BE59" i="9"/>
  <c r="BE9" i="9"/>
  <c r="BE33" i="9"/>
  <c r="BE65" i="9"/>
  <c r="BE81" i="9"/>
  <c r="BE43" i="9"/>
  <c r="BE31" i="9"/>
  <c r="BE35" i="9"/>
  <c r="BF41" i="9" l="1"/>
  <c r="BF23" i="9"/>
  <c r="BF25" i="9"/>
  <c r="BG3" i="9"/>
  <c r="BF37" i="9"/>
  <c r="BF7" i="9"/>
  <c r="BF77" i="9"/>
  <c r="BF55" i="9"/>
  <c r="BF31" i="9"/>
  <c r="BF83" i="9"/>
  <c r="BF45" i="9"/>
  <c r="BF15" i="9"/>
  <c r="BF39" i="9"/>
  <c r="BF79" i="9"/>
  <c r="BF75" i="9"/>
  <c r="BF73" i="9"/>
  <c r="BF65" i="9"/>
  <c r="BF51" i="9"/>
  <c r="BF47" i="9"/>
  <c r="BF61" i="9"/>
  <c r="BF9" i="9"/>
  <c r="BF49" i="9"/>
  <c r="BF35" i="9"/>
  <c r="BF43" i="9"/>
  <c r="BF67" i="9"/>
  <c r="BF13" i="9"/>
  <c r="BF87" i="9"/>
  <c r="BF21" i="9"/>
  <c r="BF19" i="9"/>
  <c r="BF85" i="9"/>
  <c r="BF33" i="9"/>
  <c r="BF57" i="9"/>
  <c r="BF69" i="9"/>
  <c r="BF29" i="9"/>
  <c r="BF11" i="9"/>
  <c r="BF53" i="9"/>
  <c r="BF71" i="9"/>
  <c r="BF81" i="9"/>
  <c r="BF63" i="9"/>
  <c r="BF5" i="9"/>
  <c r="BF89" i="9"/>
  <c r="BF17" i="9"/>
  <c r="BF27" i="9"/>
  <c r="BF59" i="9"/>
  <c r="BG17" i="9" l="1"/>
  <c r="BG77" i="9"/>
  <c r="BG5" i="9"/>
  <c r="BG75" i="9"/>
  <c r="BG79" i="9"/>
  <c r="BG15" i="9"/>
  <c r="BG49" i="9"/>
  <c r="BG57" i="9"/>
  <c r="BG37" i="9"/>
  <c r="BG51" i="9"/>
  <c r="BG31" i="9"/>
  <c r="BG55" i="9"/>
  <c r="BH3" i="9"/>
  <c r="BG89" i="9"/>
  <c r="BG33" i="9"/>
  <c r="BG39" i="9"/>
  <c r="BG53" i="9"/>
  <c r="BG81" i="9"/>
  <c r="BG7" i="9"/>
  <c r="BG69" i="9"/>
  <c r="BG29" i="9"/>
  <c r="BG35" i="9"/>
  <c r="BG85" i="9"/>
  <c r="BG65" i="9"/>
  <c r="BG83" i="9"/>
  <c r="BG47" i="9"/>
  <c r="BG27" i="9"/>
  <c r="BG67" i="9"/>
  <c r="BG61" i="9"/>
  <c r="BG23" i="9"/>
  <c r="BG41" i="9"/>
  <c r="BG9" i="9"/>
  <c r="BG25" i="9"/>
  <c r="BG71" i="9"/>
  <c r="BG11" i="9"/>
  <c r="BG43" i="9"/>
  <c r="BG87" i="9"/>
  <c r="BG63" i="9"/>
  <c r="BG73" i="9"/>
  <c r="BG19" i="9"/>
  <c r="BG13" i="9"/>
  <c r="BG59" i="9"/>
  <c r="BG21" i="9"/>
  <c r="BG45" i="9"/>
  <c r="BH81" i="9" l="1"/>
  <c r="BH25" i="9"/>
  <c r="BH9" i="9"/>
  <c r="BH71" i="9"/>
  <c r="BH63" i="9"/>
  <c r="BH55" i="9"/>
  <c r="BH67" i="9"/>
  <c r="BI3" i="9"/>
  <c r="BH57" i="9"/>
  <c r="BH41" i="9"/>
  <c r="BH59" i="9"/>
  <c r="BH13" i="9"/>
  <c r="BH49" i="9"/>
  <c r="BH7" i="9"/>
  <c r="BH83" i="9"/>
  <c r="BH11" i="9"/>
  <c r="BH37" i="9"/>
  <c r="BH73" i="9"/>
  <c r="BH51" i="9"/>
  <c r="BH65" i="9"/>
  <c r="BH39" i="9"/>
  <c r="BH29" i="9"/>
  <c r="BH5" i="9"/>
  <c r="BH85" i="9"/>
  <c r="BH45" i="9"/>
  <c r="BH17" i="9"/>
  <c r="BH87" i="9"/>
  <c r="BH53" i="9"/>
  <c r="BH19" i="9"/>
  <c r="BH27" i="9"/>
  <c r="BH15" i="9"/>
  <c r="BH77" i="9"/>
  <c r="BH89" i="9"/>
  <c r="BH43" i="9"/>
  <c r="BH69" i="9"/>
  <c r="BH33" i="9"/>
  <c r="BH61" i="9"/>
  <c r="BH47" i="9"/>
  <c r="BH23" i="9"/>
  <c r="BH75" i="9"/>
  <c r="BH35" i="9"/>
  <c r="BH31" i="9"/>
  <c r="BH79" i="9"/>
  <c r="BH21" i="9"/>
  <c r="BI7" i="9" l="1"/>
  <c r="BI25" i="9"/>
  <c r="BI5" i="9"/>
  <c r="BI79" i="9"/>
  <c r="BI9" i="9"/>
  <c r="BI57" i="9"/>
  <c r="BJ3" i="9"/>
  <c r="BI51" i="9"/>
  <c r="BI37" i="9"/>
  <c r="BI55" i="9"/>
  <c r="BI87" i="9"/>
  <c r="BI67" i="9"/>
  <c r="BI17" i="9"/>
  <c r="BI77" i="9"/>
  <c r="BI29" i="9"/>
  <c r="BI27" i="9"/>
  <c r="BI85" i="9"/>
  <c r="BI63" i="9"/>
  <c r="BI53" i="9"/>
  <c r="BI61" i="9"/>
  <c r="BI59" i="9"/>
  <c r="BI75" i="9"/>
  <c r="BI65" i="9"/>
  <c r="BI49" i="9"/>
  <c r="BI81" i="9"/>
  <c r="BI41" i="9"/>
  <c r="BI43" i="9"/>
  <c r="BI83" i="9"/>
  <c r="BI47" i="9"/>
  <c r="BI33" i="9"/>
  <c r="BI45" i="9"/>
  <c r="BI23" i="9"/>
  <c r="BI15" i="9"/>
  <c r="BI35" i="9"/>
  <c r="BI11" i="9"/>
  <c r="BI13" i="9"/>
  <c r="BI89" i="9"/>
  <c r="BI71" i="9"/>
  <c r="BI69" i="9"/>
  <c r="BI19" i="9"/>
  <c r="BI39" i="9"/>
  <c r="BI21" i="9"/>
  <c r="BI73" i="9"/>
  <c r="BI31" i="9"/>
  <c r="BJ75" i="9" l="1"/>
  <c r="BJ81" i="9"/>
  <c r="BJ45" i="9"/>
  <c r="BJ5" i="9"/>
  <c r="BJ27" i="9"/>
  <c r="BJ87" i="9"/>
  <c r="BJ77" i="9"/>
  <c r="BJ67" i="9"/>
  <c r="BJ23" i="9"/>
  <c r="BJ57" i="9"/>
  <c r="BJ21" i="9"/>
  <c r="BJ83" i="9"/>
  <c r="BJ71" i="9"/>
  <c r="BJ73" i="9"/>
  <c r="BJ11" i="9"/>
  <c r="BJ85" i="9"/>
  <c r="BJ55" i="9"/>
  <c r="BJ59" i="9"/>
  <c r="BK3" i="9"/>
  <c r="BJ89" i="9"/>
  <c r="BJ69" i="9"/>
  <c r="BJ33" i="9"/>
  <c r="BJ47" i="9"/>
  <c r="BJ7" i="9"/>
  <c r="BJ65" i="9"/>
  <c r="BJ49" i="9"/>
  <c r="BJ13" i="9"/>
  <c r="BJ61" i="9"/>
  <c r="BJ31" i="9"/>
  <c r="BJ29" i="9"/>
  <c r="BJ43" i="9"/>
  <c r="BJ19" i="9"/>
  <c r="BJ15" i="9"/>
  <c r="BJ9" i="9"/>
  <c r="BJ41" i="9"/>
  <c r="BJ53" i="9"/>
  <c r="BJ51" i="9"/>
  <c r="BJ79" i="9"/>
  <c r="BJ25" i="9"/>
  <c r="BJ17" i="9"/>
  <c r="BJ63" i="9"/>
  <c r="BJ37" i="9"/>
  <c r="BJ35" i="9"/>
  <c r="BJ39" i="9"/>
  <c r="BL3" i="9" l="1"/>
  <c r="BK57" i="9"/>
  <c r="BK69" i="9"/>
  <c r="BK19" i="9"/>
  <c r="BK27" i="9"/>
  <c r="BK17" i="9"/>
  <c r="BK87" i="9"/>
  <c r="BK25" i="9"/>
  <c r="BK9" i="9"/>
  <c r="BK75" i="9"/>
  <c r="BK33" i="9"/>
  <c r="BK5" i="9"/>
  <c r="BK61" i="9"/>
  <c r="BK21" i="9"/>
  <c r="BK39" i="9"/>
  <c r="BK55" i="9"/>
  <c r="BK53" i="9"/>
  <c r="BK89" i="9"/>
  <c r="BK59" i="9"/>
  <c r="BK15" i="9"/>
  <c r="BK35" i="9"/>
  <c r="BK29" i="9"/>
  <c r="BK81" i="9"/>
  <c r="BK71" i="9"/>
  <c r="BK23" i="9"/>
  <c r="BK83" i="9"/>
  <c r="BK31" i="9"/>
  <c r="BK13" i="9"/>
  <c r="BK7" i="9"/>
  <c r="BK43" i="9"/>
  <c r="BK85" i="9"/>
  <c r="BK79" i="9"/>
  <c r="BK67" i="9"/>
  <c r="BK77" i="9"/>
  <c r="BK49" i="9"/>
  <c r="BK65" i="9"/>
  <c r="BK45" i="9"/>
  <c r="BK41" i="9"/>
  <c r="BK11" i="9"/>
  <c r="BK51" i="9"/>
  <c r="BK73" i="9"/>
  <c r="BK37" i="9"/>
  <c r="BK63" i="9"/>
  <c r="BK47" i="9"/>
  <c r="BL81" i="9" l="1"/>
  <c r="BL69" i="9"/>
  <c r="BL49" i="9"/>
  <c r="BM3" i="9"/>
  <c r="BL35" i="9"/>
  <c r="BL37" i="9"/>
  <c r="BL77" i="9"/>
  <c r="BL45" i="9"/>
  <c r="BL41" i="9"/>
  <c r="BL15" i="9"/>
  <c r="BL71" i="9"/>
  <c r="BL65" i="9"/>
  <c r="BL59" i="9"/>
  <c r="BL17" i="9"/>
  <c r="BL31" i="9"/>
  <c r="BL47" i="9"/>
  <c r="BL73" i="9"/>
  <c r="BL19" i="9"/>
  <c r="BL11" i="9"/>
  <c r="BL13" i="9"/>
  <c r="BL55" i="9"/>
  <c r="BL23" i="9"/>
  <c r="BL7" i="9"/>
  <c r="BL51" i="9"/>
  <c r="BL43" i="9"/>
  <c r="BL39" i="9"/>
  <c r="BL89" i="9"/>
  <c r="BL27" i="9"/>
  <c r="BL29" i="9"/>
  <c r="BL85" i="9"/>
  <c r="BL21" i="9"/>
  <c r="BL33" i="9"/>
  <c r="BL67" i="9"/>
  <c r="BL79" i="9"/>
  <c r="BL5" i="9"/>
  <c r="BL25" i="9"/>
  <c r="BL53" i="9"/>
  <c r="BL83" i="9"/>
  <c r="BL57" i="9"/>
  <c r="BL61" i="9"/>
  <c r="BL87" i="9"/>
  <c r="BL63" i="9"/>
  <c r="BL75" i="9"/>
  <c r="BL9" i="9"/>
  <c r="BM49" i="9" l="1"/>
  <c r="BM23" i="9"/>
  <c r="BM19" i="9"/>
  <c r="BM81" i="9"/>
  <c r="BM75" i="9"/>
  <c r="BM37" i="9"/>
  <c r="BM11" i="9"/>
  <c r="BM53" i="9"/>
  <c r="BM61" i="9"/>
  <c r="BM87" i="9"/>
  <c r="BM63" i="9"/>
  <c r="BM29" i="9"/>
  <c r="BM55" i="9"/>
  <c r="BM89" i="9"/>
  <c r="BM7" i="9"/>
  <c r="BM17" i="9"/>
  <c r="BM33" i="9"/>
  <c r="BM57" i="9"/>
  <c r="BM85" i="9"/>
  <c r="BM77" i="9"/>
  <c r="BM73" i="9"/>
  <c r="BM31" i="9"/>
  <c r="BM47" i="9"/>
  <c r="BM65" i="9"/>
  <c r="BM79" i="9"/>
  <c r="BM51" i="9"/>
  <c r="BM45" i="9"/>
  <c r="BM15" i="9"/>
  <c r="BM5" i="9"/>
  <c r="BM39" i="9"/>
  <c r="BM83" i="9"/>
  <c r="BM71" i="9"/>
  <c r="BM27" i="9"/>
  <c r="BM67" i="9"/>
  <c r="BM59" i="9"/>
  <c r="BM69" i="9"/>
  <c r="BM9" i="9"/>
  <c r="BM21" i="9"/>
  <c r="BM35" i="9"/>
  <c r="BM25" i="9"/>
  <c r="BM43" i="9"/>
  <c r="BM13" i="9"/>
  <c r="BM41" i="9"/>
  <c r="BN3" i="9"/>
  <c r="BN85" i="9" l="1"/>
  <c r="BN77" i="9"/>
  <c r="BN23" i="9"/>
  <c r="BN43" i="9"/>
  <c r="BN33" i="9"/>
  <c r="BN71" i="9"/>
  <c r="BN67" i="9"/>
  <c r="BN41" i="9"/>
  <c r="BN89" i="9"/>
  <c r="BN55" i="9"/>
  <c r="BN27" i="9"/>
  <c r="BN45" i="9"/>
  <c r="BN5" i="9"/>
  <c r="BN69" i="9"/>
  <c r="BN9" i="9"/>
  <c r="BN13" i="9"/>
  <c r="BN19" i="9"/>
  <c r="BN79" i="9"/>
  <c r="BN73" i="9"/>
  <c r="BN83" i="9"/>
  <c r="BN21" i="9"/>
  <c r="BN65" i="9"/>
  <c r="BN87" i="9"/>
  <c r="BN57" i="9"/>
  <c r="BN15" i="9"/>
  <c r="BN47" i="9"/>
  <c r="BN75" i="9"/>
  <c r="BN53" i="9"/>
  <c r="BN39" i="9"/>
  <c r="BN7" i="9"/>
  <c r="BN11" i="9"/>
  <c r="BN37" i="9"/>
  <c r="BN17" i="9"/>
  <c r="BN61" i="9"/>
  <c r="BN81" i="9"/>
  <c r="BN31" i="9"/>
  <c r="BN29" i="9"/>
  <c r="BO3" i="9"/>
  <c r="BN35" i="9"/>
  <c r="BN25" i="9"/>
  <c r="BN63" i="9"/>
  <c r="BN59" i="9"/>
  <c r="BN51" i="9"/>
  <c r="BN49" i="9"/>
  <c r="BO65" i="9" l="1"/>
  <c r="BO25" i="9"/>
  <c r="BO73" i="9"/>
  <c r="BO15" i="9"/>
  <c r="BO47" i="9"/>
  <c r="BO37" i="9"/>
  <c r="BO21" i="9"/>
  <c r="BO13" i="9"/>
  <c r="BO23" i="9"/>
  <c r="BO49" i="9"/>
  <c r="BO17" i="9"/>
  <c r="BO33" i="9"/>
  <c r="BO7" i="9"/>
  <c r="BO5" i="9"/>
  <c r="BO85" i="9"/>
  <c r="BO39" i="9"/>
  <c r="BO31" i="9"/>
  <c r="BO29" i="9"/>
  <c r="BO9" i="9"/>
  <c r="BO87" i="9"/>
  <c r="BO19" i="9"/>
  <c r="BO67" i="9"/>
  <c r="BO75" i="9"/>
  <c r="BO53" i="9"/>
  <c r="BO81" i="9"/>
  <c r="BO55" i="9"/>
  <c r="BO77" i="9"/>
  <c r="BO59" i="9"/>
  <c r="BO63" i="9"/>
  <c r="BO45" i="9"/>
  <c r="BO11" i="9"/>
  <c r="BO35" i="9"/>
  <c r="BO51" i="9"/>
  <c r="BO57" i="9"/>
  <c r="BO43" i="9"/>
  <c r="BO79" i="9"/>
  <c r="BO71" i="9"/>
  <c r="BO41" i="9"/>
  <c r="BO61" i="9"/>
  <c r="BO89" i="9"/>
  <c r="BP3" i="9"/>
  <c r="BO83" i="9"/>
  <c r="BO69" i="9"/>
  <c r="BO27" i="9"/>
  <c r="BP31" i="9" l="1"/>
  <c r="BP79" i="9"/>
  <c r="BP89" i="9"/>
  <c r="BP43" i="9"/>
  <c r="BP87" i="9"/>
  <c r="BP33" i="9"/>
  <c r="BP85" i="9"/>
  <c r="BP63" i="9"/>
  <c r="BP71" i="9"/>
  <c r="BP11" i="9"/>
  <c r="BP67" i="9"/>
  <c r="BP61" i="9"/>
  <c r="BP41" i="9"/>
  <c r="BP25" i="9"/>
  <c r="BP83" i="9"/>
  <c r="BP39" i="9"/>
  <c r="BP45" i="9"/>
  <c r="BP73" i="9"/>
  <c r="BQ3" i="9"/>
  <c r="BP23" i="9"/>
  <c r="BP27" i="9"/>
  <c r="BP49" i="9"/>
  <c r="BP5" i="9"/>
  <c r="BP47" i="9"/>
  <c r="BP7" i="9"/>
  <c r="BP53" i="9"/>
  <c r="BP35" i="9"/>
  <c r="BP81" i="9"/>
  <c r="BP69" i="9"/>
  <c r="BP75" i="9"/>
  <c r="BP19" i="9"/>
  <c r="BP13" i="9"/>
  <c r="BP29" i="9"/>
  <c r="BP65" i="9"/>
  <c r="BP37" i="9"/>
  <c r="BP17" i="9"/>
  <c r="BP57" i="9"/>
  <c r="BP59" i="9"/>
  <c r="BP21" i="9"/>
  <c r="BP51" i="9"/>
  <c r="BP15" i="9"/>
  <c r="BP77" i="9"/>
  <c r="BP9" i="9"/>
  <c r="BP55" i="9"/>
  <c r="BQ21" i="9" l="1"/>
  <c r="BQ11" i="9"/>
  <c r="BQ85" i="9"/>
  <c r="BQ27" i="9"/>
  <c r="BQ75" i="9"/>
  <c r="BQ29" i="9"/>
  <c r="BQ57" i="9"/>
  <c r="BQ89" i="9"/>
  <c r="BQ69" i="9"/>
  <c r="BQ71" i="9"/>
  <c r="BQ79" i="9"/>
  <c r="BQ53" i="9"/>
  <c r="BQ83" i="9"/>
  <c r="BQ61" i="9"/>
  <c r="BQ77" i="9"/>
  <c r="BQ33" i="9"/>
  <c r="BQ51" i="9"/>
  <c r="BQ81" i="9"/>
  <c r="BQ63" i="9"/>
  <c r="BQ73" i="9"/>
  <c r="BQ17" i="9"/>
  <c r="BQ39" i="9"/>
  <c r="BQ35" i="9"/>
  <c r="BQ45" i="9"/>
  <c r="BQ41" i="9"/>
  <c r="BQ13" i="9"/>
  <c r="BQ19" i="9"/>
  <c r="BQ31" i="9"/>
  <c r="BQ55" i="9"/>
  <c r="BQ9" i="9"/>
  <c r="BQ65" i="9"/>
  <c r="BQ25" i="9"/>
  <c r="BQ43" i="9"/>
  <c r="BQ23" i="9"/>
  <c r="BQ5" i="9"/>
  <c r="BR3" i="9"/>
  <c r="BQ7" i="9"/>
  <c r="BQ49" i="9"/>
  <c r="BQ67" i="9"/>
  <c r="BQ15" i="9"/>
  <c r="BQ87" i="9"/>
  <c r="BQ37" i="9"/>
  <c r="BQ59" i="9"/>
  <c r="BQ47" i="9"/>
  <c r="BR89" i="9" l="1"/>
  <c r="BR81" i="9"/>
  <c r="BR79" i="9"/>
  <c r="BR49" i="9"/>
  <c r="BR83" i="9"/>
  <c r="BR37" i="9"/>
  <c r="BR69" i="9"/>
  <c r="BR67" i="9"/>
  <c r="BR41" i="9"/>
  <c r="BR61" i="9"/>
  <c r="BR39" i="9"/>
  <c r="BR45" i="9"/>
  <c r="BR25" i="9"/>
  <c r="BR47" i="9"/>
  <c r="BR11" i="9"/>
  <c r="BR27" i="9"/>
  <c r="BS3" i="9"/>
  <c r="BR19" i="9"/>
  <c r="BR23" i="9"/>
  <c r="BR73" i="9"/>
  <c r="BR59" i="9"/>
  <c r="BR15" i="9"/>
  <c r="BR31" i="9"/>
  <c r="BR57" i="9"/>
  <c r="BR51" i="9"/>
  <c r="BR43" i="9"/>
  <c r="BR85" i="9"/>
  <c r="BR63" i="9"/>
  <c r="BR87" i="9"/>
  <c r="BR17" i="9"/>
  <c r="BR9" i="9"/>
  <c r="BR71" i="9"/>
  <c r="BR7" i="9"/>
  <c r="BR35" i="9"/>
  <c r="BR55" i="9"/>
  <c r="BR75" i="9"/>
  <c r="BR65" i="9"/>
  <c r="BR29" i="9"/>
  <c r="BR5" i="9"/>
  <c r="BR77" i="9"/>
  <c r="BR53" i="9"/>
  <c r="BR33" i="9"/>
  <c r="BR21" i="9"/>
  <c r="BR13" i="9"/>
  <c r="BS23" i="9" l="1"/>
  <c r="BS15" i="9"/>
  <c r="BS5" i="9"/>
  <c r="BS55" i="9"/>
  <c r="BS67" i="9"/>
  <c r="BS29" i="9"/>
  <c r="BS85" i="9"/>
  <c r="BS81" i="9"/>
  <c r="BS7" i="9"/>
  <c r="BS47" i="9"/>
  <c r="BS33" i="9"/>
  <c r="BS53" i="9"/>
  <c r="BS89" i="9"/>
  <c r="BS77" i="9"/>
  <c r="BS73" i="9"/>
  <c r="BS35" i="9"/>
  <c r="BS75" i="9"/>
  <c r="BS83" i="9"/>
  <c r="BS69" i="9"/>
  <c r="BS65" i="9"/>
  <c r="BS13" i="9"/>
  <c r="BS43" i="9"/>
  <c r="BS17" i="9"/>
  <c r="BS63" i="9"/>
  <c r="BS45" i="9"/>
  <c r="BS31" i="9"/>
  <c r="BS59" i="9"/>
  <c r="BS11" i="9"/>
  <c r="BS39" i="9"/>
  <c r="BS21" i="9"/>
  <c r="BS71" i="9"/>
  <c r="BS79" i="9"/>
  <c r="BS41" i="9"/>
  <c r="BS61" i="9"/>
  <c r="BS51" i="9"/>
  <c r="BS9" i="9"/>
  <c r="BS87" i="9"/>
  <c r="BS27" i="9"/>
  <c r="BS25" i="9"/>
  <c r="BS37" i="9"/>
  <c r="BS49" i="9"/>
  <c r="BS57" i="9"/>
  <c r="BT3" i="9"/>
  <c r="BS19" i="9"/>
  <c r="BT87" i="9" l="1"/>
  <c r="BT85" i="9"/>
  <c r="BT79" i="9"/>
  <c r="BT11" i="9"/>
  <c r="BT33" i="9"/>
  <c r="BT35" i="9"/>
  <c r="BT61" i="9"/>
  <c r="BT65" i="9"/>
  <c r="BT67" i="9"/>
  <c r="BT25" i="9"/>
  <c r="BT27" i="9"/>
  <c r="BT59" i="9"/>
  <c r="BT49" i="9"/>
  <c r="BT45" i="9"/>
  <c r="BT9" i="9"/>
  <c r="BT31" i="9"/>
  <c r="BT47" i="9"/>
  <c r="BT43" i="9"/>
  <c r="BT41" i="9"/>
  <c r="BT75" i="9"/>
  <c r="BT71" i="9"/>
  <c r="BT23" i="9"/>
  <c r="BT15" i="9"/>
  <c r="BT63" i="9"/>
  <c r="BT53" i="9"/>
  <c r="BT69" i="9"/>
  <c r="BT39" i="9"/>
  <c r="BT81" i="9"/>
  <c r="BT51" i="9"/>
  <c r="BT17" i="9"/>
  <c r="BT19" i="9"/>
  <c r="BT73" i="9"/>
  <c r="BT7" i="9"/>
  <c r="BT57" i="9"/>
  <c r="BT77" i="9"/>
  <c r="BT13" i="9"/>
  <c r="BT37" i="9"/>
  <c r="BU3" i="9"/>
  <c r="BT89" i="9"/>
  <c r="BT83" i="9"/>
  <c r="BT21" i="9"/>
  <c r="BT29" i="9"/>
  <c r="BT55" i="9"/>
  <c r="BT5" i="9"/>
  <c r="BU73" i="9" l="1"/>
  <c r="BU23" i="9"/>
  <c r="BU7" i="9"/>
  <c r="BU17" i="9"/>
  <c r="BU37" i="9"/>
  <c r="BU29" i="9"/>
  <c r="BU5" i="9"/>
  <c r="BU33" i="9"/>
  <c r="BU57" i="9"/>
  <c r="BU89" i="9"/>
  <c r="BU21" i="9"/>
  <c r="BU83" i="9"/>
  <c r="BU71" i="9"/>
  <c r="BU53" i="9"/>
  <c r="BU81" i="9"/>
  <c r="BU63" i="9"/>
  <c r="BU77" i="9"/>
  <c r="BU35" i="9"/>
  <c r="BU31" i="9"/>
  <c r="BU69" i="9"/>
  <c r="BU61" i="9"/>
  <c r="BU43" i="9"/>
  <c r="BU41" i="9"/>
  <c r="BU25" i="9"/>
  <c r="BU47" i="9"/>
  <c r="BU13" i="9"/>
  <c r="BU11" i="9"/>
  <c r="BU9" i="9"/>
  <c r="BU87" i="9"/>
  <c r="BU55" i="9"/>
  <c r="BU39" i="9"/>
  <c r="BU79" i="9"/>
  <c r="BU65" i="9"/>
  <c r="BU51" i="9"/>
  <c r="BU49" i="9"/>
  <c r="BU67" i="9"/>
  <c r="BU19" i="9"/>
  <c r="BU27" i="9"/>
  <c r="BU59" i="9"/>
  <c r="BU75" i="9"/>
  <c r="BU45" i="9"/>
  <c r="BU15" i="9"/>
  <c r="BV3" i="9"/>
  <c r="BU85" i="9"/>
  <c r="BV29" i="9" l="1"/>
  <c r="BV7" i="9"/>
  <c r="BV11" i="9"/>
  <c r="BV5" i="9"/>
  <c r="BV77" i="9"/>
  <c r="BV65" i="9"/>
  <c r="BV63" i="9"/>
  <c r="BV19" i="9"/>
  <c r="BV27" i="9"/>
  <c r="BV69" i="9"/>
  <c r="BV67" i="9"/>
  <c r="BV59" i="9"/>
  <c r="BV9" i="9"/>
  <c r="BV87" i="9"/>
  <c r="BV21" i="9"/>
  <c r="BV89" i="9"/>
  <c r="BV35" i="9"/>
  <c r="BV45" i="9"/>
  <c r="BV79" i="9"/>
  <c r="BV85" i="9"/>
  <c r="BV75" i="9"/>
  <c r="BV23" i="9"/>
  <c r="BV43" i="9"/>
  <c r="BV61" i="9"/>
  <c r="BV83" i="9"/>
  <c r="BV55" i="9"/>
  <c r="BW3" i="9"/>
  <c r="BV39" i="9"/>
  <c r="BV81" i="9"/>
  <c r="BV13" i="9"/>
  <c r="BV47" i="9"/>
  <c r="BV71" i="9"/>
  <c r="BV41" i="9"/>
  <c r="BV31" i="9"/>
  <c r="BV53" i="9"/>
  <c r="BV17" i="9"/>
  <c r="BV37" i="9"/>
  <c r="BV15" i="9"/>
  <c r="BV51" i="9"/>
  <c r="BV49" i="9"/>
  <c r="BV33" i="9"/>
  <c r="BV25" i="9"/>
  <c r="BV57" i="9"/>
  <c r="BV73" i="9"/>
  <c r="BW27" i="9" l="1"/>
  <c r="BW15" i="9"/>
  <c r="BW9" i="9"/>
  <c r="BW57" i="9"/>
  <c r="BW13" i="9"/>
  <c r="BW33" i="9"/>
  <c r="BW69" i="9"/>
  <c r="BW49" i="9"/>
  <c r="BW23" i="9"/>
  <c r="BW21" i="9"/>
  <c r="BW47" i="9"/>
  <c r="BW41" i="9"/>
  <c r="BW11" i="9"/>
  <c r="BW25" i="9"/>
  <c r="BW17" i="9"/>
  <c r="BW19" i="9"/>
  <c r="BW79" i="9"/>
  <c r="BW81" i="9"/>
  <c r="BW39" i="9"/>
  <c r="BW37" i="9"/>
  <c r="BW53" i="9"/>
  <c r="BW75" i="9"/>
  <c r="BW5" i="9"/>
  <c r="BW59" i="9"/>
  <c r="BW87" i="9"/>
  <c r="BW89" i="9"/>
  <c r="BW71" i="9"/>
  <c r="BW43" i="9"/>
  <c r="BW67" i="9"/>
  <c r="BW61" i="9"/>
  <c r="BX3" i="9"/>
  <c r="BW51" i="9"/>
  <c r="BW55" i="9"/>
  <c r="BW63" i="9"/>
  <c r="BW29" i="9"/>
  <c r="BW77" i="9"/>
  <c r="BW45" i="9"/>
  <c r="BW31" i="9"/>
  <c r="BW85" i="9"/>
  <c r="BW73" i="9"/>
  <c r="BW83" i="9"/>
  <c r="BW65" i="9"/>
  <c r="BW7" i="9"/>
  <c r="BW35" i="9"/>
  <c r="BX23" i="9" l="1"/>
  <c r="BX7" i="9"/>
  <c r="BX19" i="9"/>
  <c r="BX25" i="9"/>
  <c r="BX31" i="9"/>
  <c r="BX83" i="9"/>
  <c r="BX89" i="9"/>
  <c r="BX87" i="9"/>
  <c r="BX27" i="9"/>
  <c r="BX51" i="9"/>
  <c r="BX57" i="9"/>
  <c r="BX65" i="9"/>
  <c r="BX49" i="9"/>
  <c r="BX15" i="9"/>
  <c r="BX75" i="9"/>
  <c r="BX81" i="9"/>
  <c r="BX43" i="9"/>
  <c r="BX41" i="9"/>
  <c r="BX69" i="9"/>
  <c r="BX67" i="9"/>
  <c r="BX61" i="9"/>
  <c r="BX45" i="9"/>
  <c r="BX5" i="9"/>
  <c r="BX39" i="9"/>
  <c r="BX71" i="9"/>
  <c r="BX59" i="9"/>
  <c r="BX53" i="9"/>
  <c r="BX35" i="9"/>
  <c r="BX47" i="9"/>
  <c r="BX73" i="9"/>
  <c r="BX37" i="9"/>
  <c r="BX11" i="9"/>
  <c r="BX13" i="9"/>
  <c r="BX29" i="9"/>
  <c r="BX77" i="9"/>
  <c r="BY3" i="9"/>
  <c r="BX21" i="9"/>
  <c r="BX9" i="9"/>
  <c r="BX85" i="9"/>
  <c r="BX33" i="9"/>
  <c r="BX17" i="9"/>
  <c r="BX79" i="9"/>
  <c r="BX55" i="9"/>
  <c r="BX63" i="9"/>
  <c r="BY53" i="9" l="1"/>
  <c r="BY55" i="9"/>
  <c r="BY57" i="9"/>
  <c r="BY73" i="9"/>
  <c r="BY31" i="9"/>
  <c r="BY33" i="9"/>
  <c r="BY5" i="9"/>
  <c r="BY81" i="9"/>
  <c r="BY45" i="9"/>
  <c r="BY39" i="9"/>
  <c r="BY83" i="9"/>
  <c r="BY69" i="9"/>
  <c r="BY59" i="9"/>
  <c r="BY15" i="9"/>
  <c r="BY67" i="9"/>
  <c r="BY77" i="9"/>
  <c r="BY25" i="9"/>
  <c r="BY43" i="9"/>
  <c r="BY65" i="9"/>
  <c r="BY37" i="9"/>
  <c r="BY61" i="9"/>
  <c r="BY47" i="9"/>
  <c r="BY21" i="9"/>
  <c r="BY9" i="9"/>
  <c r="BY35" i="9"/>
  <c r="BZ3" i="9"/>
  <c r="BY27" i="9"/>
  <c r="BY11" i="9"/>
  <c r="BY71" i="9"/>
  <c r="BY7" i="9"/>
  <c r="BY17" i="9"/>
  <c r="BY29" i="9"/>
  <c r="BY63" i="9"/>
  <c r="BY79" i="9"/>
  <c r="BY49" i="9"/>
  <c r="BY23" i="9"/>
  <c r="BY51" i="9"/>
  <c r="BY13" i="9"/>
  <c r="BY19" i="9"/>
  <c r="BY41" i="9"/>
  <c r="BY89" i="9"/>
  <c r="BY75" i="9"/>
  <c r="BY85" i="9"/>
  <c r="BY87" i="9"/>
  <c r="BZ19" i="9" l="1"/>
  <c r="BZ7" i="9"/>
  <c r="BZ5" i="9"/>
  <c r="BZ77" i="9"/>
  <c r="BZ45" i="9"/>
  <c r="BZ43" i="9"/>
  <c r="BZ69" i="9"/>
  <c r="BZ35" i="9"/>
  <c r="BZ63" i="9"/>
  <c r="BZ21" i="9"/>
  <c r="BZ85" i="9"/>
  <c r="BZ17" i="9"/>
  <c r="BZ47" i="9"/>
  <c r="BZ73" i="9"/>
  <c r="BZ57" i="9"/>
  <c r="CA3" i="9"/>
  <c r="BZ31" i="9"/>
  <c r="BZ33" i="9"/>
  <c r="BZ9" i="9"/>
  <c r="BZ79" i="9"/>
  <c r="BZ11" i="9"/>
  <c r="BZ87" i="9"/>
  <c r="BZ29" i="9"/>
  <c r="BZ89" i="9"/>
  <c r="BZ65" i="9"/>
  <c r="BZ51" i="9"/>
  <c r="BZ83" i="9"/>
  <c r="BZ23" i="9"/>
  <c r="BZ59" i="9"/>
  <c r="BZ67" i="9"/>
  <c r="BZ55" i="9"/>
  <c r="BZ37" i="9"/>
  <c r="BZ41" i="9"/>
  <c r="BZ25" i="9"/>
  <c r="BZ81" i="9"/>
  <c r="BZ75" i="9"/>
  <c r="BZ53" i="9"/>
  <c r="BZ49" i="9"/>
  <c r="BZ39" i="9"/>
  <c r="BZ61" i="9"/>
  <c r="BZ15" i="9"/>
  <c r="BZ13" i="9"/>
  <c r="BZ27" i="9"/>
  <c r="BZ71" i="9"/>
  <c r="CA33" i="9" l="1"/>
  <c r="CA55" i="9"/>
  <c r="CA81" i="9"/>
  <c r="CA89" i="9"/>
  <c r="CA17" i="9"/>
  <c r="CA29" i="9"/>
  <c r="CA85" i="9"/>
  <c r="CA63" i="9"/>
  <c r="CA25" i="9"/>
  <c r="CA9" i="9"/>
  <c r="CA13" i="9"/>
  <c r="CA43" i="9"/>
  <c r="CA71" i="9"/>
  <c r="CA67" i="9"/>
  <c r="CA73" i="9"/>
  <c r="CB3" i="9"/>
  <c r="CA75" i="9"/>
  <c r="CA51" i="9"/>
  <c r="CA65" i="9"/>
  <c r="CA41" i="9"/>
  <c r="CA19" i="9"/>
  <c r="CA49" i="9"/>
  <c r="CA87" i="9"/>
  <c r="CA21" i="9"/>
  <c r="CA59" i="9"/>
  <c r="CA15" i="9"/>
  <c r="CA47" i="9"/>
  <c r="CA53" i="9"/>
  <c r="CA37" i="9"/>
  <c r="CA57" i="9"/>
  <c r="CA61" i="9"/>
  <c r="CA31" i="9"/>
  <c r="CA45" i="9"/>
  <c r="CA5" i="9"/>
  <c r="CA35" i="9"/>
  <c r="CA7" i="9"/>
  <c r="CA11" i="9"/>
  <c r="CA83" i="9"/>
  <c r="CA27" i="9"/>
  <c r="CA39" i="9"/>
  <c r="CA23" i="9"/>
  <c r="CA79" i="9"/>
  <c r="CA77" i="9"/>
  <c r="CA69" i="9"/>
  <c r="CB73" i="9" l="1"/>
  <c r="CB43" i="9"/>
  <c r="CB19" i="9"/>
  <c r="CB77" i="9"/>
  <c r="CB47" i="9"/>
  <c r="CB5" i="9"/>
  <c r="CB17" i="9"/>
  <c r="CB65" i="9"/>
  <c r="CB27" i="9"/>
  <c r="CB33" i="9"/>
  <c r="CB9" i="9"/>
  <c r="CB57" i="9"/>
  <c r="CB7" i="9"/>
  <c r="CB51" i="9"/>
  <c r="CB67" i="9"/>
  <c r="CB55" i="9"/>
  <c r="CB53" i="9"/>
  <c r="CB89" i="9"/>
  <c r="CB87" i="9"/>
  <c r="CB13" i="9"/>
  <c r="CB71" i="9"/>
  <c r="CB81" i="9"/>
  <c r="CB61" i="9"/>
  <c r="CB29" i="9"/>
  <c r="CB85" i="9"/>
  <c r="CB49" i="9"/>
  <c r="CB39" i="9"/>
  <c r="CB63" i="9"/>
  <c r="CB41" i="9"/>
  <c r="CB35" i="9"/>
  <c r="CB23" i="9"/>
  <c r="CB11" i="9"/>
  <c r="CB59" i="9"/>
  <c r="CB79" i="9"/>
  <c r="CC3" i="9"/>
  <c r="CB37" i="9"/>
  <c r="CB25" i="9"/>
  <c r="CB45" i="9"/>
  <c r="CB83" i="9"/>
  <c r="CB31" i="9"/>
  <c r="CB69" i="9"/>
  <c r="CB21" i="9"/>
  <c r="CB15" i="9"/>
  <c r="CB75" i="9"/>
  <c r="CC37" i="9" l="1"/>
  <c r="CC15" i="9"/>
  <c r="CC57" i="9"/>
  <c r="CC19" i="9"/>
  <c r="CC27" i="9"/>
  <c r="CC13" i="9"/>
  <c r="CC35" i="9"/>
  <c r="CC79" i="9"/>
  <c r="CC65" i="9"/>
  <c r="CC73" i="9"/>
  <c r="CC47" i="9"/>
  <c r="CC75" i="9"/>
  <c r="CC77" i="9"/>
  <c r="CC85" i="9"/>
  <c r="CC59" i="9"/>
  <c r="CC7" i="9"/>
  <c r="CC29" i="9"/>
  <c r="CC9" i="9"/>
  <c r="CC83" i="9"/>
  <c r="CC69" i="9"/>
  <c r="CC25" i="9"/>
  <c r="CC81" i="9"/>
  <c r="CC43" i="9"/>
  <c r="CC61" i="9"/>
  <c r="CC23" i="9"/>
  <c r="CC67" i="9"/>
  <c r="CC49" i="9"/>
  <c r="CC5" i="9"/>
  <c r="CC17" i="9"/>
  <c r="CD3" i="9"/>
  <c r="CC45" i="9"/>
  <c r="CC71" i="9"/>
  <c r="CC53" i="9"/>
  <c r="CC55" i="9"/>
  <c r="CC87" i="9"/>
  <c r="CC41" i="9"/>
  <c r="CC63" i="9"/>
  <c r="CC11" i="9"/>
  <c r="CC31" i="9"/>
  <c r="CC21" i="9"/>
  <c r="CC89" i="9"/>
  <c r="CC39" i="9"/>
  <c r="CC51" i="9"/>
  <c r="CC33" i="9"/>
  <c r="CD73" i="9" l="1"/>
  <c r="CD59" i="9"/>
  <c r="CD15" i="9"/>
  <c r="CD61" i="9"/>
  <c r="CD47" i="9"/>
  <c r="CD17" i="9"/>
  <c r="CD11" i="9"/>
  <c r="CD85" i="9"/>
  <c r="CD27" i="9"/>
  <c r="CD87" i="9"/>
  <c r="CD5" i="9"/>
  <c r="CD79" i="9"/>
  <c r="CD43" i="9"/>
  <c r="CD21" i="9"/>
  <c r="CD33" i="9"/>
  <c r="CD57" i="9"/>
  <c r="CD53" i="9"/>
  <c r="CD89" i="9"/>
  <c r="CD7" i="9"/>
  <c r="CD51" i="9"/>
  <c r="CD29" i="9"/>
  <c r="CD75" i="9"/>
  <c r="CD45" i="9"/>
  <c r="CD37" i="9"/>
  <c r="CD71" i="9"/>
  <c r="CD77" i="9"/>
  <c r="CD13" i="9"/>
  <c r="CD25" i="9"/>
  <c r="CD23" i="9"/>
  <c r="CD83" i="9"/>
  <c r="CD19" i="9"/>
  <c r="CD39" i="9"/>
  <c r="CD81" i="9"/>
  <c r="CD69" i="9"/>
  <c r="CD67" i="9"/>
  <c r="CD63" i="9"/>
  <c r="CD41" i="9"/>
  <c r="CD31" i="9"/>
  <c r="CD35" i="9"/>
  <c r="CD55" i="9"/>
  <c r="CE3" i="9"/>
  <c r="CD65" i="9"/>
  <c r="CD49" i="9"/>
  <c r="CD9" i="9"/>
  <c r="CE33" i="9" l="1"/>
  <c r="CE57" i="9"/>
  <c r="CE55" i="9"/>
  <c r="CE87" i="9"/>
  <c r="CE37" i="9"/>
  <c r="CE35" i="9"/>
  <c r="CE85" i="9"/>
  <c r="CE77" i="9"/>
  <c r="CE71" i="9"/>
  <c r="CE63" i="9"/>
  <c r="CE75" i="9"/>
  <c r="CE29" i="9"/>
  <c r="CE69" i="9"/>
  <c r="CE65" i="9"/>
  <c r="CE67" i="9"/>
  <c r="CE7" i="9"/>
  <c r="CE17" i="9"/>
  <c r="CE51" i="9"/>
  <c r="CE49" i="9"/>
  <c r="CE45" i="9"/>
  <c r="CE41" i="9"/>
  <c r="CE25" i="9"/>
  <c r="CE59" i="9"/>
  <c r="CE43" i="9"/>
  <c r="CE61" i="9"/>
  <c r="CE19" i="9"/>
  <c r="CE53" i="9"/>
  <c r="CE15" i="9"/>
  <c r="CE13" i="9"/>
  <c r="CE83" i="9"/>
  <c r="CE89" i="9"/>
  <c r="CE79" i="9"/>
  <c r="CE73" i="9"/>
  <c r="CE47" i="9"/>
  <c r="CE31" i="9"/>
  <c r="CE5" i="9"/>
  <c r="CE9" i="9"/>
  <c r="CE39" i="9"/>
  <c r="CE23" i="9"/>
  <c r="CE81" i="9"/>
  <c r="CE11" i="9"/>
  <c r="CF3" i="9"/>
  <c r="CE27" i="9"/>
  <c r="CE21" i="9"/>
  <c r="CF65" i="9" l="1"/>
  <c r="CF25" i="9"/>
  <c r="CF59" i="9"/>
  <c r="CF15" i="9"/>
  <c r="CF35" i="9"/>
  <c r="CF23" i="9"/>
  <c r="CF21" i="9"/>
  <c r="CF7" i="9"/>
  <c r="CF89" i="9"/>
  <c r="CF43" i="9"/>
  <c r="CF13" i="9"/>
  <c r="CF11" i="9"/>
  <c r="CF75" i="9"/>
  <c r="CF17" i="9"/>
  <c r="CF33" i="9"/>
  <c r="CF29" i="9"/>
  <c r="CF9" i="9"/>
  <c r="CF87" i="9"/>
  <c r="CF5" i="9"/>
  <c r="CF51" i="9"/>
  <c r="CF67" i="9"/>
  <c r="CF53" i="9"/>
  <c r="CF85" i="9"/>
  <c r="CF27" i="9"/>
  <c r="CF81" i="9"/>
  <c r="CF63" i="9"/>
  <c r="CF37" i="9"/>
  <c r="CF69" i="9"/>
  <c r="CF45" i="9"/>
  <c r="CF39" i="9"/>
  <c r="CF73" i="9"/>
  <c r="CF19" i="9"/>
  <c r="CF47" i="9"/>
  <c r="CF57" i="9"/>
  <c r="CF55" i="9"/>
  <c r="CF79" i="9"/>
  <c r="CF61" i="9"/>
  <c r="CF71" i="9"/>
  <c r="CF83" i="9"/>
  <c r="CF77" i="9"/>
  <c r="CF41" i="9"/>
  <c r="CF49" i="9"/>
  <c r="CG3" i="9"/>
  <c r="CF31" i="9"/>
  <c r="CG37" i="9" l="1"/>
  <c r="CG5" i="9"/>
  <c r="CG11" i="9"/>
  <c r="CG7" i="9"/>
  <c r="CG47" i="9"/>
  <c r="CG51" i="9"/>
  <c r="CG85" i="9"/>
  <c r="CG81" i="9"/>
  <c r="CG89" i="9"/>
  <c r="CG15" i="9"/>
  <c r="CG35" i="9"/>
  <c r="CG13" i="9"/>
  <c r="CG77" i="9"/>
  <c r="CG79" i="9"/>
  <c r="CG75" i="9"/>
  <c r="CG43" i="9"/>
  <c r="CG87" i="9"/>
  <c r="CG9" i="9"/>
  <c r="CG63" i="9"/>
  <c r="CG61" i="9"/>
  <c r="CG69" i="9"/>
  <c r="CG45" i="9"/>
  <c r="CG31" i="9"/>
  <c r="CG59" i="9"/>
  <c r="CG73" i="9"/>
  <c r="CG71" i="9"/>
  <c r="CG25" i="9"/>
  <c r="CH3" i="9"/>
  <c r="CG39" i="9"/>
  <c r="CG19" i="9"/>
  <c r="CG17" i="9"/>
  <c r="CG27" i="9"/>
  <c r="CG49" i="9"/>
  <c r="CG55" i="9"/>
  <c r="CG23" i="9"/>
  <c r="CG83" i="9"/>
  <c r="CG57" i="9"/>
  <c r="CG65" i="9"/>
  <c r="CG33" i="9"/>
  <c r="CG21" i="9"/>
  <c r="CG67" i="9"/>
  <c r="CG29" i="9"/>
  <c r="CG53" i="9"/>
  <c r="CG41" i="9"/>
  <c r="CH49" i="9" l="1"/>
  <c r="CH15" i="9"/>
  <c r="CH67" i="9"/>
  <c r="CH27" i="9"/>
  <c r="CH79" i="9"/>
  <c r="CH7" i="9"/>
  <c r="CH75" i="9"/>
  <c r="CH57" i="9"/>
  <c r="CH43" i="9"/>
  <c r="CH37" i="9"/>
  <c r="CH53" i="9"/>
  <c r="CH77" i="9"/>
  <c r="CH73" i="9"/>
  <c r="CH29" i="9"/>
  <c r="CH51" i="9"/>
  <c r="CH55" i="9"/>
  <c r="CH85" i="9"/>
  <c r="CH69" i="9"/>
  <c r="CH81" i="9"/>
  <c r="CH59" i="9"/>
  <c r="CH39" i="9"/>
  <c r="CH61" i="9"/>
  <c r="CH11" i="9"/>
  <c r="CH47" i="9"/>
  <c r="CH45" i="9"/>
  <c r="CH65" i="9"/>
  <c r="CH13" i="9"/>
  <c r="CI3" i="9"/>
  <c r="CH35" i="9"/>
  <c r="CH33" i="9"/>
  <c r="CH89" i="9"/>
  <c r="CH41" i="9"/>
  <c r="CH87" i="9"/>
  <c r="CH25" i="9"/>
  <c r="CH17" i="9"/>
  <c r="CH9" i="9"/>
  <c r="CH19" i="9"/>
  <c r="CH23" i="9"/>
  <c r="CH83" i="9"/>
  <c r="CH63" i="9"/>
  <c r="CH31" i="9"/>
  <c r="CH71" i="9"/>
  <c r="CH21" i="9"/>
  <c r="CH5" i="9"/>
  <c r="CI33" i="9" l="1"/>
  <c r="CI15" i="9"/>
  <c r="CI57" i="9"/>
  <c r="CI55" i="9"/>
  <c r="CI75" i="9"/>
  <c r="CI27" i="9"/>
  <c r="CI53" i="9"/>
  <c r="CI77" i="9"/>
  <c r="CI71" i="9"/>
  <c r="CI63" i="9"/>
  <c r="CI31" i="9"/>
  <c r="CI83" i="9"/>
  <c r="CI89" i="9"/>
  <c r="CI65" i="9"/>
  <c r="CI61" i="9"/>
  <c r="CI85" i="9"/>
  <c r="CI17" i="9"/>
  <c r="CI37" i="9"/>
  <c r="CI69" i="9"/>
  <c r="CI43" i="9"/>
  <c r="CI41" i="9"/>
  <c r="CI13" i="9"/>
  <c r="CI79" i="9"/>
  <c r="CI47" i="9"/>
  <c r="CI19" i="9"/>
  <c r="CI11" i="9"/>
  <c r="CI9" i="9"/>
  <c r="CI5" i="9"/>
  <c r="CI49" i="9"/>
  <c r="CI45" i="9"/>
  <c r="CJ3" i="9"/>
  <c r="CI35" i="9"/>
  <c r="CI21" i="9"/>
  <c r="CI23" i="9"/>
  <c r="CI51" i="9"/>
  <c r="CI81" i="9"/>
  <c r="CI7" i="9"/>
  <c r="CI39" i="9"/>
  <c r="CI25" i="9"/>
  <c r="CI59" i="9"/>
  <c r="CI67" i="9"/>
  <c r="CI29" i="9"/>
  <c r="CI73" i="9"/>
  <c r="CI87" i="9"/>
  <c r="CJ89" i="9" l="1"/>
  <c r="CJ25" i="9"/>
  <c r="CK3" i="9"/>
  <c r="CJ75" i="9"/>
  <c r="CJ29" i="9"/>
  <c r="CJ43" i="9"/>
  <c r="CJ7" i="9"/>
  <c r="CJ9" i="9"/>
  <c r="CJ5" i="9"/>
  <c r="CJ27" i="9"/>
  <c r="CJ53" i="9"/>
  <c r="CJ57" i="9"/>
  <c r="CJ87" i="9"/>
  <c r="CJ23" i="9"/>
  <c r="CJ71" i="9"/>
  <c r="CJ33" i="9"/>
  <c r="CJ77" i="9"/>
  <c r="CJ79" i="9"/>
  <c r="CJ47" i="9"/>
  <c r="CJ21" i="9"/>
  <c r="CJ35" i="9"/>
  <c r="CJ55" i="9"/>
  <c r="CJ65" i="9"/>
  <c r="CJ17" i="9"/>
  <c r="CJ85" i="9"/>
  <c r="CJ73" i="9"/>
  <c r="CJ51" i="9"/>
  <c r="CJ81" i="9"/>
  <c r="CJ11" i="9"/>
  <c r="CJ59" i="9"/>
  <c r="CJ45" i="9"/>
  <c r="CJ13" i="9"/>
  <c r="CJ83" i="9"/>
  <c r="CJ63" i="9"/>
  <c r="CJ37" i="9"/>
  <c r="CJ19" i="9"/>
  <c r="CJ69" i="9"/>
  <c r="CJ49" i="9"/>
  <c r="CJ15" i="9"/>
  <c r="CJ61" i="9"/>
  <c r="CJ39" i="9"/>
  <c r="CJ41" i="9"/>
  <c r="CJ67" i="9"/>
  <c r="CJ31" i="9"/>
  <c r="CK29" i="9" l="1"/>
  <c r="CK11" i="9"/>
  <c r="CK89" i="9"/>
  <c r="CK69" i="9"/>
  <c r="CK35" i="9"/>
  <c r="CK71" i="9"/>
  <c r="CK85" i="9"/>
  <c r="CK81" i="9"/>
  <c r="CK75" i="9"/>
  <c r="CK65" i="9"/>
  <c r="CK49" i="9"/>
  <c r="CK25" i="9"/>
  <c r="CL3" i="9"/>
  <c r="CK9" i="9"/>
  <c r="CK31" i="9"/>
  <c r="CK21" i="9"/>
  <c r="CK13" i="9"/>
  <c r="CK47" i="9"/>
  <c r="CK33" i="9"/>
  <c r="CK23" i="9"/>
  <c r="CK77" i="9"/>
  <c r="CK39" i="9"/>
  <c r="CK87" i="9"/>
  <c r="CK45" i="9"/>
  <c r="CK83" i="9"/>
  <c r="CK17" i="9"/>
  <c r="CK5" i="9"/>
  <c r="CK73" i="9"/>
  <c r="CK63" i="9"/>
  <c r="CK7" i="9"/>
  <c r="CK57" i="9"/>
  <c r="CK79" i="9"/>
  <c r="CK59" i="9"/>
  <c r="CK43" i="9"/>
  <c r="CK53" i="9"/>
  <c r="CK55" i="9"/>
  <c r="CK27" i="9"/>
  <c r="CK19" i="9"/>
  <c r="CK67" i="9"/>
  <c r="CK61" i="9"/>
  <c r="CK41" i="9"/>
  <c r="CK37" i="9"/>
  <c r="CK15" i="9"/>
  <c r="CK51" i="9"/>
  <c r="CL69" i="9" l="1"/>
  <c r="CL59" i="9"/>
  <c r="CL41" i="9"/>
  <c r="CL53" i="9"/>
  <c r="CL83" i="9"/>
  <c r="CL33" i="9"/>
  <c r="CL5" i="9"/>
  <c r="CL85" i="9"/>
  <c r="CL63" i="9"/>
  <c r="CL79" i="9"/>
  <c r="CL43" i="9"/>
  <c r="CL15" i="9"/>
  <c r="CL21" i="9"/>
  <c r="CM3" i="9"/>
  <c r="CL71" i="9"/>
  <c r="CL57" i="9"/>
  <c r="CL55" i="9"/>
  <c r="CL27" i="9"/>
  <c r="CL37" i="9"/>
  <c r="CL39" i="9"/>
  <c r="CL65" i="9"/>
  <c r="CL45" i="9"/>
  <c r="CL31" i="9"/>
  <c r="CL29" i="9"/>
  <c r="CL77" i="9"/>
  <c r="CL23" i="9"/>
  <c r="CL7" i="9"/>
  <c r="CL87" i="9"/>
  <c r="CL75" i="9"/>
  <c r="CL17" i="9"/>
  <c r="CL25" i="9"/>
  <c r="CL61" i="9"/>
  <c r="CL19" i="9"/>
  <c r="CL11" i="9"/>
  <c r="CL9" i="9"/>
  <c r="CL81" i="9"/>
  <c r="CL67" i="9"/>
  <c r="CL73" i="9"/>
  <c r="CL35" i="9"/>
  <c r="CL13" i="9"/>
  <c r="CL49" i="9"/>
  <c r="CL47" i="9"/>
  <c r="CL89" i="9"/>
  <c r="CL51" i="9"/>
  <c r="CM29" i="9" l="1"/>
  <c r="CM9" i="9"/>
  <c r="CM19" i="9"/>
  <c r="CM41" i="9"/>
  <c r="CM7" i="9"/>
  <c r="CM51" i="9"/>
  <c r="CM25" i="9"/>
  <c r="CM55" i="9"/>
  <c r="CM11" i="9"/>
  <c r="CM67" i="9"/>
  <c r="CM39" i="9"/>
  <c r="CM23" i="9"/>
  <c r="CM5" i="9"/>
  <c r="CM69" i="9"/>
  <c r="CM31" i="9"/>
  <c r="CM13" i="9"/>
  <c r="CM89" i="9"/>
  <c r="CM21" i="9"/>
  <c r="CM27" i="9"/>
  <c r="CM79" i="9"/>
  <c r="CM53" i="9"/>
  <c r="CM45" i="9"/>
  <c r="CM17" i="9"/>
  <c r="CM77" i="9"/>
  <c r="CM71" i="9"/>
  <c r="CM49" i="9"/>
  <c r="CM83" i="9"/>
  <c r="CM87" i="9"/>
  <c r="CM63" i="9"/>
  <c r="CM33" i="9"/>
  <c r="CM61" i="9"/>
  <c r="CM15" i="9"/>
  <c r="CM65" i="9"/>
  <c r="CM73" i="9"/>
  <c r="CN3" i="9"/>
  <c r="CM37" i="9"/>
  <c r="CM57" i="9"/>
  <c r="CM85" i="9"/>
  <c r="CM81" i="9"/>
  <c r="CM43" i="9"/>
  <c r="CM47" i="9"/>
  <c r="CM35" i="9"/>
  <c r="CM59" i="9"/>
  <c r="CM75" i="9"/>
  <c r="CN89" i="9" l="1"/>
  <c r="CN59" i="9"/>
  <c r="CN73" i="9"/>
  <c r="CN21" i="9"/>
  <c r="CN51" i="9"/>
  <c r="CN37" i="9"/>
  <c r="CN5" i="9"/>
  <c r="CN61" i="9"/>
  <c r="CN53" i="9"/>
  <c r="CN9" i="9"/>
  <c r="CN75" i="9"/>
  <c r="CN65" i="9"/>
  <c r="CN55" i="9"/>
  <c r="CN19" i="9"/>
  <c r="CN71" i="9"/>
  <c r="CN49" i="9"/>
  <c r="CN17" i="9"/>
  <c r="CN57" i="9"/>
  <c r="CN35" i="9"/>
  <c r="CN15" i="9"/>
  <c r="CN79" i="9"/>
  <c r="CN41" i="9"/>
  <c r="CN47" i="9"/>
  <c r="CN29" i="9"/>
  <c r="CN69" i="9"/>
  <c r="CN87" i="9"/>
  <c r="CN39" i="9"/>
  <c r="CN7" i="9"/>
  <c r="CN31" i="9"/>
  <c r="CN33" i="9"/>
  <c r="CN45" i="9"/>
  <c r="CN83" i="9"/>
  <c r="CN67" i="9"/>
  <c r="CN85" i="9"/>
  <c r="CN63" i="9"/>
  <c r="CO3" i="9"/>
  <c r="CN25" i="9"/>
  <c r="CN81" i="9"/>
  <c r="CN77" i="9"/>
  <c r="CN23" i="9"/>
  <c r="CN13" i="9"/>
  <c r="CN43" i="9"/>
  <c r="CN11" i="9"/>
  <c r="CN27" i="9"/>
  <c r="CO37" i="9" l="1"/>
  <c r="CO5" i="9"/>
  <c r="CO11" i="9"/>
  <c r="CO41" i="9"/>
  <c r="CO65" i="9"/>
  <c r="CO49" i="9"/>
  <c r="CO55" i="9"/>
  <c r="CO85" i="9"/>
  <c r="CO89" i="9"/>
  <c r="CO61" i="9"/>
  <c r="CO33" i="9"/>
  <c r="CO9" i="9"/>
  <c r="CO23" i="9"/>
  <c r="CO43" i="9"/>
  <c r="CO31" i="9"/>
  <c r="CO67" i="9"/>
  <c r="CO25" i="9"/>
  <c r="CO19" i="9"/>
  <c r="CO79" i="9"/>
  <c r="CO13" i="9"/>
  <c r="CO75" i="9"/>
  <c r="CO83" i="9"/>
  <c r="CO17" i="9"/>
  <c r="CO29" i="9"/>
  <c r="CO21" i="9"/>
  <c r="CO63" i="9"/>
  <c r="CO39" i="9"/>
  <c r="CP3" i="9"/>
  <c r="CO51" i="9"/>
  <c r="CO57" i="9"/>
  <c r="CO69" i="9"/>
  <c r="CO59" i="9"/>
  <c r="CO47" i="9"/>
  <c r="CO73" i="9"/>
  <c r="CO7" i="9"/>
  <c r="CO35" i="9"/>
  <c r="CO87" i="9"/>
  <c r="CO45" i="9"/>
  <c r="CO53" i="9"/>
  <c r="CO81" i="9"/>
  <c r="CO27" i="9"/>
  <c r="CO77" i="9"/>
  <c r="CO15" i="9"/>
  <c r="CO71" i="9"/>
  <c r="CP73" i="9" l="1"/>
  <c r="CP65" i="9"/>
  <c r="CP89" i="9"/>
  <c r="CP9" i="9"/>
  <c r="CP87" i="9"/>
  <c r="CP33" i="9"/>
  <c r="CP55" i="9"/>
  <c r="CP69" i="9"/>
  <c r="CP57" i="9"/>
  <c r="CP37" i="9"/>
  <c r="CP21" i="9"/>
  <c r="CP77" i="9"/>
  <c r="CP45" i="9"/>
  <c r="CP13" i="9"/>
  <c r="CP27" i="9"/>
  <c r="CP61" i="9"/>
  <c r="CP5" i="9"/>
  <c r="CP41" i="9"/>
  <c r="CP17" i="9"/>
  <c r="CP43" i="9"/>
  <c r="CP19" i="9"/>
  <c r="CP15" i="9"/>
  <c r="CP85" i="9"/>
  <c r="CP79" i="9"/>
  <c r="CP59" i="9"/>
  <c r="CP11" i="9"/>
  <c r="CP53" i="9"/>
  <c r="CP31" i="9"/>
  <c r="CP47" i="9"/>
  <c r="CP81" i="9"/>
  <c r="CQ3" i="9"/>
  <c r="CP83" i="9"/>
  <c r="CP35" i="9"/>
  <c r="CP49" i="9"/>
  <c r="CP71" i="9"/>
  <c r="CP29" i="9"/>
  <c r="CP25" i="9"/>
  <c r="CP23" i="9"/>
  <c r="CP39" i="9"/>
  <c r="CP67" i="9"/>
  <c r="CP75" i="9"/>
  <c r="CP7" i="9"/>
  <c r="CP63" i="9"/>
  <c r="CP51" i="9"/>
  <c r="CQ85" i="9" l="1"/>
  <c r="CQ79" i="9"/>
  <c r="CQ25" i="9"/>
  <c r="CQ71" i="9"/>
  <c r="CQ21" i="9"/>
  <c r="CQ19" i="9"/>
  <c r="CQ61" i="9"/>
  <c r="CQ47" i="9"/>
  <c r="CQ67" i="9"/>
  <c r="CQ5" i="9"/>
  <c r="CQ11" i="9"/>
  <c r="CQ23" i="9"/>
  <c r="CQ83" i="9"/>
  <c r="CQ53" i="9"/>
  <c r="CQ7" i="9"/>
  <c r="CR3" i="9"/>
  <c r="CQ75" i="9"/>
  <c r="CQ63" i="9"/>
  <c r="CQ35" i="9"/>
  <c r="CQ29" i="9"/>
  <c r="CQ59" i="9"/>
  <c r="CQ15" i="9"/>
  <c r="CQ65" i="9"/>
  <c r="CQ45" i="9"/>
  <c r="CQ27" i="9"/>
  <c r="CQ39" i="9"/>
  <c r="CQ9" i="9"/>
  <c r="CQ41" i="9"/>
  <c r="CQ77" i="9"/>
  <c r="CQ17" i="9"/>
  <c r="CQ31" i="9"/>
  <c r="CQ89" i="9"/>
  <c r="CQ51" i="9"/>
  <c r="CQ69" i="9"/>
  <c r="CQ73" i="9"/>
  <c r="CQ43" i="9"/>
  <c r="CQ37" i="9"/>
  <c r="CQ33" i="9"/>
  <c r="CQ55" i="9"/>
  <c r="CQ49" i="9"/>
  <c r="CQ81" i="9"/>
  <c r="CQ57" i="9"/>
  <c r="CQ87" i="9"/>
  <c r="CQ13" i="9"/>
  <c r="CR27" i="9" l="1"/>
  <c r="CR75" i="9"/>
  <c r="CR21" i="9"/>
  <c r="CR19" i="9"/>
  <c r="CR33" i="9"/>
  <c r="CR51" i="9"/>
  <c r="CR85" i="9"/>
  <c r="CR61" i="9"/>
  <c r="CR7" i="9"/>
  <c r="CR41" i="9"/>
  <c r="CR35" i="9"/>
  <c r="CR29" i="9"/>
  <c r="CS3" i="9"/>
  <c r="CR5" i="9"/>
  <c r="CR77" i="9"/>
  <c r="CR47" i="9"/>
  <c r="CR81" i="9"/>
  <c r="CR69" i="9"/>
  <c r="CR71" i="9"/>
  <c r="CR87" i="9"/>
  <c r="CR55" i="9"/>
  <c r="CR63" i="9"/>
  <c r="CR23" i="9"/>
  <c r="CR43" i="9"/>
  <c r="CR73" i="9"/>
  <c r="CR39" i="9"/>
  <c r="CR67" i="9"/>
  <c r="CR49" i="9"/>
  <c r="CR17" i="9"/>
  <c r="CR9" i="9"/>
  <c r="CR57" i="9"/>
  <c r="CR79" i="9"/>
  <c r="CR25" i="9"/>
  <c r="CR59" i="9"/>
  <c r="CR15" i="9"/>
  <c r="CR89" i="9"/>
  <c r="CR45" i="9"/>
  <c r="CR83" i="9"/>
  <c r="CR37" i="9"/>
  <c r="CR11" i="9"/>
  <c r="CR65" i="9"/>
  <c r="CR53" i="9"/>
  <c r="CR13" i="9"/>
  <c r="CR31" i="9"/>
  <c r="CT3" i="9" l="1"/>
  <c r="CS73" i="9"/>
  <c r="CS7" i="9"/>
  <c r="CS71" i="9"/>
  <c r="CS67" i="9"/>
  <c r="CS17" i="9"/>
  <c r="CS5" i="9"/>
  <c r="CS45" i="9"/>
  <c r="CS39" i="9"/>
  <c r="CS37" i="9"/>
  <c r="CS25" i="9"/>
  <c r="CS53" i="9"/>
  <c r="CS57" i="9"/>
  <c r="CS49" i="9"/>
  <c r="CS15" i="9"/>
  <c r="CS31" i="9"/>
  <c r="CS87" i="9"/>
  <c r="CS77" i="9"/>
  <c r="CS27" i="9"/>
  <c r="CS65" i="9"/>
  <c r="CS89" i="9"/>
  <c r="CS19" i="9"/>
  <c r="CS51" i="9"/>
  <c r="CS33" i="9"/>
  <c r="CS55" i="9"/>
  <c r="CS59" i="9"/>
  <c r="CS21" i="9"/>
  <c r="CS41" i="9"/>
  <c r="CS13" i="9"/>
  <c r="CS29" i="9"/>
  <c r="CS81" i="9"/>
  <c r="CS43" i="9"/>
  <c r="CS69" i="9"/>
  <c r="CS11" i="9"/>
  <c r="CS23" i="9"/>
  <c r="CS85" i="9"/>
  <c r="CS35" i="9"/>
  <c r="CS9" i="9"/>
  <c r="CS47" i="9"/>
  <c r="CS63" i="9"/>
  <c r="CS61" i="9"/>
  <c r="CS79" i="9"/>
  <c r="CS75" i="9"/>
  <c r="CS83" i="9"/>
  <c r="CT37" i="9" l="1"/>
  <c r="CT53" i="9"/>
  <c r="CT45" i="9"/>
  <c r="CT61" i="9"/>
  <c r="CT31" i="9"/>
  <c r="CT43" i="9"/>
  <c r="CT57" i="9"/>
  <c r="CT71" i="9"/>
  <c r="CT7" i="9"/>
  <c r="CT77" i="9"/>
  <c r="CT27" i="9"/>
  <c r="CT59" i="9"/>
  <c r="CT41" i="9"/>
  <c r="CT11" i="9"/>
  <c r="CT83" i="9"/>
  <c r="CT49" i="9"/>
  <c r="CT79" i="9"/>
  <c r="CT23" i="9"/>
  <c r="CT39" i="9"/>
  <c r="CT67" i="9"/>
  <c r="CT75" i="9"/>
  <c r="CT65" i="9"/>
  <c r="CT13" i="9"/>
  <c r="CU3" i="9"/>
  <c r="CT47" i="9"/>
  <c r="CT9" i="9"/>
  <c r="CT29" i="9"/>
  <c r="CT25" i="9"/>
  <c r="CT85" i="9"/>
  <c r="CT69" i="9"/>
  <c r="CT63" i="9"/>
  <c r="CT87" i="9"/>
  <c r="CT73" i="9"/>
  <c r="CT55" i="9"/>
  <c r="CT21" i="9"/>
  <c r="CT5" i="9"/>
  <c r="CT81" i="9"/>
  <c r="CT33" i="9"/>
  <c r="CT51" i="9"/>
  <c r="CT15" i="9"/>
  <c r="CT89" i="9"/>
  <c r="CT19" i="9"/>
  <c r="CT17" i="9"/>
  <c r="CT35" i="9"/>
  <c r="CU71" i="9" l="1"/>
  <c r="CU25" i="9"/>
  <c r="CU61" i="9"/>
  <c r="CU69" i="9"/>
  <c r="CU17" i="9"/>
  <c r="CU65" i="9"/>
  <c r="CU13" i="9"/>
  <c r="CU11" i="9"/>
  <c r="CU19" i="9"/>
  <c r="CU87" i="9"/>
  <c r="CU39" i="9"/>
  <c r="CU73" i="9"/>
  <c r="CU35" i="9"/>
  <c r="CU41" i="9"/>
  <c r="CU49" i="9"/>
  <c r="CU89" i="9"/>
  <c r="CU57" i="9"/>
  <c r="CU29" i="9"/>
  <c r="CU27" i="9"/>
  <c r="CU21" i="9"/>
  <c r="CU5" i="9"/>
  <c r="CU43" i="9"/>
  <c r="CV3" i="9"/>
  <c r="CU31" i="9"/>
  <c r="CU9" i="9"/>
  <c r="CU37" i="9"/>
  <c r="CU15" i="9"/>
  <c r="CU63" i="9"/>
  <c r="CU77" i="9"/>
  <c r="CU51" i="9"/>
  <c r="CU59" i="9"/>
  <c r="CU23" i="9"/>
  <c r="CU55" i="9"/>
  <c r="CU53" i="9"/>
  <c r="CU7" i="9"/>
  <c r="CU45" i="9"/>
  <c r="CU67" i="9"/>
  <c r="CU47" i="9"/>
  <c r="CU85" i="9"/>
  <c r="CU81" i="9"/>
  <c r="CU83" i="9"/>
  <c r="CU75" i="9"/>
  <c r="CU33" i="9"/>
  <c r="CU79" i="9"/>
  <c r="CV33" i="9" l="1"/>
  <c r="CV55" i="9"/>
  <c r="CV59" i="9"/>
  <c r="CV73" i="9"/>
  <c r="CV17" i="9"/>
  <c r="CV39" i="9"/>
  <c r="CV87" i="9"/>
  <c r="CV89" i="9"/>
  <c r="CV81" i="9"/>
  <c r="CV85" i="9"/>
  <c r="CV51" i="9"/>
  <c r="CV29" i="9"/>
  <c r="CV61" i="9"/>
  <c r="CV47" i="9"/>
  <c r="CV77" i="9"/>
  <c r="CV25" i="9"/>
  <c r="CV49" i="9"/>
  <c r="CV43" i="9"/>
  <c r="CV63" i="9"/>
  <c r="CV75" i="9"/>
  <c r="CV35" i="9"/>
  <c r="CV65" i="9"/>
  <c r="CV23" i="9"/>
  <c r="CV53" i="9"/>
  <c r="CV57" i="9"/>
  <c r="CV67" i="9"/>
  <c r="CV13" i="9"/>
  <c r="CV41" i="9"/>
  <c r="CV5" i="9"/>
  <c r="CV45" i="9"/>
  <c r="CV19" i="9"/>
  <c r="CV79" i="9"/>
  <c r="CW3" i="9"/>
  <c r="CV7" i="9"/>
  <c r="CV15" i="9"/>
  <c r="CV21" i="9"/>
  <c r="CV71" i="9"/>
  <c r="CV31" i="9"/>
  <c r="CV83" i="9"/>
  <c r="CV11" i="9"/>
  <c r="CV69" i="9"/>
  <c r="CV27" i="9"/>
  <c r="CV37" i="9"/>
  <c r="CV9" i="9"/>
  <c r="CW41" i="9" l="1"/>
  <c r="CW73" i="9"/>
  <c r="CW23" i="9"/>
  <c r="CW47" i="9"/>
  <c r="CW67" i="9"/>
  <c r="CW21" i="9"/>
  <c r="CW7" i="9"/>
  <c r="CW45" i="9"/>
  <c r="CW71" i="9"/>
  <c r="CW35" i="9"/>
  <c r="CW25" i="9"/>
  <c r="CW31" i="9"/>
  <c r="CW5" i="9"/>
  <c r="CW53" i="9"/>
  <c r="CW15" i="9"/>
  <c r="CW29" i="9"/>
  <c r="CW79" i="9"/>
  <c r="CX3" i="9"/>
  <c r="CW89" i="9"/>
  <c r="CW65" i="9"/>
  <c r="CW61" i="9"/>
  <c r="CW27" i="9"/>
  <c r="CW83" i="9"/>
  <c r="CW33" i="9"/>
  <c r="CW59" i="9"/>
  <c r="CW19" i="9"/>
  <c r="CW57" i="9"/>
  <c r="CW17" i="9"/>
  <c r="CW43" i="9"/>
  <c r="CW75" i="9"/>
  <c r="CW55" i="9"/>
  <c r="CW37" i="9"/>
  <c r="CW77" i="9"/>
  <c r="CW11" i="9"/>
  <c r="CW49" i="9"/>
  <c r="CW81" i="9"/>
  <c r="CW9" i="9"/>
  <c r="CW51" i="9"/>
  <c r="CW69" i="9"/>
  <c r="CW85" i="9"/>
  <c r="CW63" i="9"/>
  <c r="CW39" i="9"/>
  <c r="CW87" i="9"/>
  <c r="CW13" i="9"/>
  <c r="CX31" i="9" l="1"/>
  <c r="CX11" i="9"/>
  <c r="CX45" i="9"/>
  <c r="CX19" i="9"/>
  <c r="CX59" i="9"/>
  <c r="CX35" i="9"/>
  <c r="CX29" i="9"/>
  <c r="CX53" i="9"/>
  <c r="CX7" i="9"/>
  <c r="CX49" i="9"/>
  <c r="CX79" i="9"/>
  <c r="CX27" i="9"/>
  <c r="CX75" i="9"/>
  <c r="CX25" i="9"/>
  <c r="CX57" i="9"/>
  <c r="CX55" i="9"/>
  <c r="CX61" i="9"/>
  <c r="CX81" i="9"/>
  <c r="CX65" i="9"/>
  <c r="CX33" i="9"/>
  <c r="CX13" i="9"/>
  <c r="CX41" i="9"/>
  <c r="CX85" i="9"/>
  <c r="CX43" i="9"/>
  <c r="CX17" i="9"/>
  <c r="CX47" i="9"/>
  <c r="CX87" i="9"/>
  <c r="CX63" i="9"/>
  <c r="CX21" i="9"/>
  <c r="CX5" i="9"/>
  <c r="CX67" i="9"/>
  <c r="CX71" i="9"/>
  <c r="CX69" i="9"/>
  <c r="CX37" i="9"/>
  <c r="CX73" i="9"/>
  <c r="CX15" i="9"/>
  <c r="CY3" i="9"/>
  <c r="CX9" i="9"/>
  <c r="CX39" i="9"/>
  <c r="CX23" i="9"/>
  <c r="CX77" i="9"/>
  <c r="CX89" i="9"/>
  <c r="CX83" i="9"/>
  <c r="CX51" i="9"/>
  <c r="CY61" i="9" l="1"/>
  <c r="CY81" i="9"/>
  <c r="CY77" i="9"/>
  <c r="CY49" i="9"/>
  <c r="CY39" i="9"/>
  <c r="CY73" i="9"/>
  <c r="CY41" i="9"/>
  <c r="CY23" i="9"/>
  <c r="CY87" i="9"/>
  <c r="CY35" i="9"/>
  <c r="CY19" i="9"/>
  <c r="CY55" i="9"/>
  <c r="CY57" i="9"/>
  <c r="CY51" i="9"/>
  <c r="CZ3" i="9"/>
  <c r="CY5" i="9"/>
  <c r="CY89" i="9"/>
  <c r="CY21" i="9"/>
  <c r="CY17" i="9"/>
  <c r="CY43" i="9"/>
  <c r="CY7" i="9"/>
  <c r="CY11" i="9"/>
  <c r="CY85" i="9"/>
  <c r="CY79" i="9"/>
  <c r="CY37" i="9"/>
  <c r="CY53" i="9"/>
  <c r="CY45" i="9"/>
  <c r="CY15" i="9"/>
  <c r="CY33" i="9"/>
  <c r="CY31" i="9"/>
  <c r="CY63" i="9"/>
  <c r="CY67" i="9"/>
  <c r="CY75" i="9"/>
  <c r="CY25" i="9"/>
  <c r="CY69" i="9"/>
  <c r="CY59" i="9"/>
  <c r="CY29" i="9"/>
  <c r="CY9" i="9"/>
  <c r="CY65" i="9"/>
  <c r="CY27" i="9"/>
  <c r="CY83" i="9"/>
  <c r="CY71" i="9"/>
  <c r="CY13" i="9"/>
  <c r="CY47" i="9"/>
  <c r="CZ55" i="9" l="1"/>
  <c r="CZ53" i="9"/>
  <c r="CZ77" i="9"/>
  <c r="CZ15" i="9"/>
  <c r="CZ79" i="9"/>
  <c r="CZ29" i="9"/>
  <c r="CZ89" i="9"/>
  <c r="CZ69" i="9"/>
  <c r="CZ47" i="9"/>
  <c r="CZ83" i="9"/>
  <c r="CZ27" i="9"/>
  <c r="CZ17" i="9"/>
  <c r="CZ23" i="9"/>
  <c r="CZ75" i="9"/>
  <c r="CZ61" i="9"/>
  <c r="CZ31" i="9"/>
  <c r="CZ81" i="9"/>
  <c r="CZ49" i="9"/>
  <c r="CZ21" i="9"/>
  <c r="CZ85" i="9"/>
  <c r="CZ59" i="9"/>
  <c r="CZ37" i="9"/>
  <c r="CZ57" i="9"/>
  <c r="CZ33" i="9"/>
  <c r="CZ87" i="9"/>
  <c r="CZ67" i="9"/>
  <c r="CZ73" i="9"/>
  <c r="CZ25" i="9"/>
  <c r="CZ9" i="9"/>
  <c r="CZ43" i="9"/>
  <c r="CZ41" i="9"/>
  <c r="CZ35" i="9"/>
  <c r="DA3" i="9"/>
  <c r="CZ11" i="9"/>
  <c r="CZ5" i="9"/>
  <c r="CZ45" i="9"/>
  <c r="CZ19" i="9"/>
  <c r="CZ39" i="9"/>
  <c r="CZ71" i="9"/>
  <c r="CZ7" i="9"/>
  <c r="CZ13" i="9"/>
  <c r="CZ65" i="9"/>
  <c r="CZ63" i="9"/>
  <c r="CZ51" i="9"/>
  <c r="DA73" i="9" l="1"/>
  <c r="DA79" i="9"/>
  <c r="DA21" i="9"/>
  <c r="DA39" i="9"/>
  <c r="DA9" i="9"/>
  <c r="DA15" i="9"/>
  <c r="DA45" i="9"/>
  <c r="DA25" i="9"/>
  <c r="DA31" i="9"/>
  <c r="DA67" i="9"/>
  <c r="DB3" i="9"/>
  <c r="DA43" i="9"/>
  <c r="DA65" i="9"/>
  <c r="DA13" i="9"/>
  <c r="DA81" i="9"/>
  <c r="DA57" i="9"/>
  <c r="DA27" i="9"/>
  <c r="DA29" i="9"/>
  <c r="DA89" i="9"/>
  <c r="DA41" i="9"/>
  <c r="DA83" i="9"/>
  <c r="DA51" i="9"/>
  <c r="DA55" i="9"/>
  <c r="DA63" i="9"/>
  <c r="DA53" i="9"/>
  <c r="DA61" i="9"/>
  <c r="DA71" i="9"/>
  <c r="DA37" i="9"/>
  <c r="DA77" i="9"/>
  <c r="DA47" i="9"/>
  <c r="DA69" i="9"/>
  <c r="DA23" i="9"/>
  <c r="DA11" i="9"/>
  <c r="DA19" i="9"/>
  <c r="DA17" i="9"/>
  <c r="DA87" i="9"/>
  <c r="DA49" i="9"/>
  <c r="DA7" i="9"/>
  <c r="DA85" i="9"/>
  <c r="DA5" i="9"/>
  <c r="DA33" i="9"/>
  <c r="DA75" i="9"/>
  <c r="DA35" i="9"/>
  <c r="DA59" i="9"/>
  <c r="DB35" i="9" l="1"/>
  <c r="DB9" i="9"/>
  <c r="DB61" i="9"/>
  <c r="DB55" i="9"/>
  <c r="DB13" i="9"/>
  <c r="DB51" i="9"/>
  <c r="DB29" i="9"/>
  <c r="DB75" i="9"/>
  <c r="DB73" i="9"/>
  <c r="DB25" i="9"/>
  <c r="DB79" i="9"/>
  <c r="DB33" i="9"/>
  <c r="DB37" i="9"/>
  <c r="DB83" i="9"/>
  <c r="DB87" i="9"/>
  <c r="DB53" i="9"/>
  <c r="DB45" i="9"/>
  <c r="DB7" i="9"/>
  <c r="DB77" i="9"/>
  <c r="DB43" i="9"/>
  <c r="DB85" i="9"/>
  <c r="DC3" i="9"/>
  <c r="DB23" i="9"/>
  <c r="DB27" i="9"/>
  <c r="DB63" i="9"/>
  <c r="DB57" i="9"/>
  <c r="DB49" i="9"/>
  <c r="DB65" i="9"/>
  <c r="DB71" i="9"/>
  <c r="DB47" i="9"/>
  <c r="DB21" i="9"/>
  <c r="DB81" i="9"/>
  <c r="DB15" i="9"/>
  <c r="DB31" i="9"/>
  <c r="DB59" i="9"/>
  <c r="DB39" i="9"/>
  <c r="DB19" i="9"/>
  <c r="DB17" i="9"/>
  <c r="DB69" i="9"/>
  <c r="DB11" i="9"/>
  <c r="DB89" i="9"/>
  <c r="DB41" i="9"/>
  <c r="DB67" i="9"/>
  <c r="DB5" i="9"/>
  <c r="DC81" i="9" l="1"/>
  <c r="DC45" i="9"/>
  <c r="DC71" i="9"/>
  <c r="DC65" i="9"/>
  <c r="DC37" i="9"/>
  <c r="DC61" i="9"/>
  <c r="DC41" i="9"/>
  <c r="DC11" i="9"/>
  <c r="DC85" i="9"/>
  <c r="DC9" i="9"/>
  <c r="DC75" i="9"/>
  <c r="DC35" i="9"/>
  <c r="DC73" i="9"/>
  <c r="DC25" i="9"/>
  <c r="DC53" i="9"/>
  <c r="DC7" i="9"/>
  <c r="DC49" i="9"/>
  <c r="DC39" i="9"/>
  <c r="DC67" i="9"/>
  <c r="DC59" i="9"/>
  <c r="DC33" i="9"/>
  <c r="DC19" i="9"/>
  <c r="DC23" i="9"/>
  <c r="DC87" i="9"/>
  <c r="DC27" i="9"/>
  <c r="DC31" i="9"/>
  <c r="DC57" i="9"/>
  <c r="DC55" i="9"/>
  <c r="DC69" i="9"/>
  <c r="DC21" i="9"/>
  <c r="DC83" i="9"/>
  <c r="DC51" i="9"/>
  <c r="DC43" i="9"/>
  <c r="DC63" i="9"/>
  <c r="DC29" i="9"/>
  <c r="DC13" i="9"/>
  <c r="DC47" i="9"/>
  <c r="DC79" i="9"/>
  <c r="DC17" i="9"/>
  <c r="DC77" i="9"/>
  <c r="DC5" i="9"/>
  <c r="DC89" i="9"/>
  <c r="DC15" i="9"/>
</calcChain>
</file>

<file path=xl/sharedStrings.xml><?xml version="1.0" encoding="utf-8"?>
<sst xmlns="http://schemas.openxmlformats.org/spreadsheetml/2006/main" count="4090" uniqueCount="1000">
  <si>
    <t>Fertilizer Management</t>
  </si>
  <si>
    <t>Stormwater BMPs</t>
  </si>
  <si>
    <t>Surface Water Remediation Wetlands</t>
  </si>
  <si>
    <t>Pond and Estuary Dredging</t>
  </si>
  <si>
    <t>Flow</t>
  </si>
  <si>
    <t>GPD</t>
  </si>
  <si>
    <t>Low</t>
  </si>
  <si>
    <t>High</t>
  </si>
  <si>
    <t>Average</t>
  </si>
  <si>
    <t>Acres</t>
  </si>
  <si>
    <t>Linear Foot</t>
  </si>
  <si>
    <t>Each</t>
  </si>
  <si>
    <t>Nitrogen</t>
  </si>
  <si>
    <t>Groundwater</t>
  </si>
  <si>
    <t>Stormwater</t>
  </si>
  <si>
    <t>Nper</t>
  </si>
  <si>
    <t>Green Infrastructure</t>
  </si>
  <si>
    <t>Constructed Wetlands - Surface Flow</t>
  </si>
  <si>
    <t>Phytoirrigation and Phytobuffers</t>
  </si>
  <si>
    <t>Stormwater: Constructed Wetlands</t>
  </si>
  <si>
    <t>Phytoremediation</t>
  </si>
  <si>
    <t>Waste Reduction Toilets</t>
  </si>
  <si>
    <t>Curb Mile</t>
  </si>
  <si>
    <t>Remediation of Existing Development</t>
  </si>
  <si>
    <t>Transfer of Development Rights</t>
  </si>
  <si>
    <t>System Alterations</t>
  </si>
  <si>
    <t>Cubic Yard</t>
  </si>
  <si>
    <t>Gray Infrastructure</t>
  </si>
  <si>
    <t>Innovative/Alternative (I/A) Systems</t>
  </si>
  <si>
    <t>Innovative/Alternative (I/A) Enhanced Systems</t>
  </si>
  <si>
    <t xml:space="preserve">Cluster Treatment System - Two-stage </t>
  </si>
  <si>
    <t>Conventional Treatment</t>
  </si>
  <si>
    <t>Advanced Treatment</t>
  </si>
  <si>
    <t>Satellite Treatment</t>
  </si>
  <si>
    <t>Satellite Treatment - Enhanced</t>
  </si>
  <si>
    <t>Collection Systems</t>
  </si>
  <si>
    <t>STEG - Collection</t>
  </si>
  <si>
    <t>STEP - Collection</t>
  </si>
  <si>
    <t>Square Foot</t>
  </si>
  <si>
    <t>Commercial Disposal</t>
  </si>
  <si>
    <t>Composting</t>
  </si>
  <si>
    <t>Incineration</t>
  </si>
  <si>
    <t>Lime Stabilization</t>
  </si>
  <si>
    <t>Digestion</t>
  </si>
  <si>
    <t>Effluent Disposal</t>
  </si>
  <si>
    <t>Gravity Sewer</t>
  </si>
  <si>
    <t>Low Pressure Sewer</t>
  </si>
  <si>
    <t>Vacuum Sewer</t>
  </si>
  <si>
    <t>Force Main</t>
  </si>
  <si>
    <t>Pump Station</t>
  </si>
  <si>
    <t>On-Site Pump Station</t>
  </si>
  <si>
    <t>Dewater and Haul to Landfill</t>
  </si>
  <si>
    <t>Thermal Drying</t>
  </si>
  <si>
    <t>Drying and Gasification</t>
  </si>
  <si>
    <t>DTPD</t>
  </si>
  <si>
    <t/>
  </si>
  <si>
    <t>Yes</t>
  </si>
  <si>
    <t>No</t>
  </si>
  <si>
    <t>`</t>
  </si>
  <si>
    <t>Project Cost Factor</t>
  </si>
  <si>
    <t>Description</t>
  </si>
  <si>
    <t>Influent Concentration</t>
  </si>
  <si>
    <t>Average Life Cycle Cost (Non Nutrient Reducing Technology)</t>
  </si>
  <si>
    <t>Advantages</t>
  </si>
  <si>
    <t>Disadvantages</t>
  </si>
  <si>
    <t>Project Cost (PV)</t>
  </si>
  <si>
    <t>Adjustment Factors</t>
  </si>
  <si>
    <t>Adjusted Project Cost (PV)</t>
  </si>
  <si>
    <t>Adjusted Annual O&amp;M Cost</t>
  </si>
  <si>
    <t>Regulatory Comments and Certainty</t>
  </si>
  <si>
    <t>Public Acceptance</t>
  </si>
  <si>
    <t>Project Cost</t>
  </si>
  <si>
    <t>O&amp;M</t>
  </si>
  <si>
    <t>Average Project Cost (PV)</t>
  </si>
  <si>
    <t>Upper Limit of Removal with Lower Limit of Cost</t>
  </si>
  <si>
    <t>Lower Limit of Removal with Upper Limit of Cost</t>
  </si>
  <si>
    <t>20 - 75 mg/L N
4 - 8 mg/L P</t>
  </si>
  <si>
    <t>N/A</t>
  </si>
  <si>
    <t>Requires more data for regulatory approval.  Pilot study likely, requiring establishment of baseline water quality and monitoring once pilot project is online.  The pilot study results will likely be used to determine the effectiveness and efficiency of the technology before allowing full implementation.
Other wetlands type systems (e.g. Ocean Arks) utilizing plants in reactor basins have shown that little of the nutrients are taken up by plants and that the roots and root hairs mimic fixed film reactors thereby providing the bulk of the treatment.  In natural wetlands, most of denitrification occurs through anoxic sediments with labile carbon.  These are the main conditions that a constructed wetland would have to mimic.  It would seem that these should accept secondary treated effluent at a minimum, not primary treatment.  The removal rates exceed natural wetlands and therefore would have to be managed carefully to achieve these high removal rates.
Wetland effluent discharged into a leach field or similar system: (a) Systems not designed to remove phosphorus.  Phosphorus removal in these smaller systems requires lengthy retention times and/or use of specialized media to increase sorption; and (b) Based on 44,000GPD / 2.08 acre total treatment area for Fields of St Croix constructed wetland system in Lake Elmo, MN.</t>
  </si>
  <si>
    <t xml:space="preserve">Requires more data for regulatory approval.  Pilot study likely, requiring establishment of baseline water quality and monitoring once pilot project is online.  The pilot study results will likely be used to determine the effectiveness and efficiency of the technology before allowing full implementation.
Other wetlands type systems (e.g. Ocean Arks) utilizing plants in reactor basins have shown that little of the nutrients are taken up by plants and that the roots and root hairs mimic fixed film reactors thereby providing the bulk of the treatment.  In natural wetlands, most of denitrification occurs through anoxic sediments with labile carbon.  These are the main conditions that a constructed wetland would have to mimic.  It would seem that these should accept secondary treated effluent at a minimum, not primary treatment.  The removal rates exceed natural wetlands and therefore would have to be managed carefully to achieve these high removal rates.
For flows up to 10,000 gpd proposes only septic tank pretreatment.  Regardless of the level of treatment,  how would this be effective during the non-growing season since unless some type of storage is required, but doubtful whether these smaller type developments would have the available land.
UNH stormwater center research shows high NO3-N and TP removal rates. Establishing setback to wetland resource areas important to reduce nitrogen movement through groundwater mound to wetland. Comments/questions asks “wetland effluent discharged into a water body or used for open space irrigation.” Wetlands Program would prefer recharge of the treated effluent as disposal mechanism. Discharge to inland rivers of sufficient size to promote dilution would be second choice. </t>
  </si>
  <si>
    <t>Raw Sewage
Septic Tank Effluent
Primary Effluent</t>
  </si>
  <si>
    <t>● Adjacent to housing and development.</t>
  </si>
  <si>
    <t>● Compact size with high nutrient removal efficiencies.</t>
  </si>
  <si>
    <t>Past experience with these types of systems have required conventional denitrification filters on the back end to achieve desired TN limits.  Also, energy costs are high since these are usually built in some type of greenhouse and need to maintain  year round growing temperature and light conditions.</t>
  </si>
  <si>
    <t>Secondary Effluent
Advanced Effluent</t>
  </si>
  <si>
    <t>10 - 30 mg/L N
3 - 6 mg/L P</t>
  </si>
  <si>
    <t>Nitrogen
Phosphorus</t>
  </si>
  <si>
    <t>● Plants can only be irrigated during growing season (about 3 months).
● For tree systems, it takes several years before plants are mature enough to uptake the take maximum number of gallons per day requiring the effluent be held in holding ponds until the irrigation season.</t>
  </si>
  <si>
    <t>Pilot study likely, requiring establishment of baseline water quality and monitoring once pilot project is online.  The pilot study results will likely be used to determine the effectiveness and efficiency of the technology before allowing full implementation.
Removal rates at 90%-100% depend on application at agronomic rate and efficient evapotranspiration.  However, there is a need to consider long term monitoring to demonstrate effectiveness, perhaps with pan lysimeters.  In particular, there could be some release of residual N (particularly Org-N stored in the soil) during the non-growing season.  This would have to be evaluated.  How would this be evaluated considering different application rates, different soil types, different species and density of plantings?</t>
  </si>
  <si>
    <t>20 - 50 mg/L N
4 - 8 mg/L P</t>
  </si>
  <si>
    <t>N, P, TSS, TPH-D, Zn, and Quantity Control, TN, hydrocarbons, microorganisms</t>
  </si>
  <si>
    <t>● Open space required for construction.</t>
  </si>
  <si>
    <t>N, P, TSS, TPH-D, Zn, and Quantity Control</t>
  </si>
  <si>
    <t>Innovative and Resource-Management Technologies</t>
  </si>
  <si>
    <t>Ambient Nitrogen Levels in an Estuary</t>
  </si>
  <si>
    <t>2 - 20 mg/L N</t>
  </si>
  <si>
    <t>Nutrient Enriched Groundwater</t>
  </si>
  <si>
    <t>● Permeable soils.
● Depth to groundwater &lt;10 feet.
● Not within priority habitat areas.
● Not within protected open space.
● Benefit if site is located within a Zone II, has disturbed soils, parcel intersects with 50 to 100 foot wetland buffers, has municipal ownership, necessary nitrogen removal in groundwater filtering through parcel is high.</t>
  </si>
  <si>
    <t>Pilot study likely requiring establishment of baseline water quality and monitoring once pilot project is online.  The pilot study results will likely be used to determine the effectiveness and efficiency of the technology before allowing full implementation.
Need to work closely with the Hyannis WWTF  demonstration project to evaluate the data.   Considerations would have to include penetration depth into the water table to determine how much nitrogen is being captured and that there is no underflow to allow nitrogen to escape uptake.  There is a need to insure that entire plume is captured, or a means to determine how much of the plume is captured in order to determine load reductions.</t>
  </si>
  <si>
    <t xml:space="preserve">Nitrogen     </t>
  </si>
  <si>
    <t>(1) Construction cost based on the well being 8 to 12-inch in diameter and 20 to 30 feet deep.</t>
  </si>
  <si>
    <t>Pilot study likely requiring establishment of baseline water quality and monitoring once pilot project is online.  The pilot study results will likely be used to determine the effectiveness and efficiency of the technology before allowing full implementation.
There is a need to consider long term monitoring to demonstrate effectiveness, perhaps with pan lysimeters.  In particular, there could be some release of residual N (particularly Org-N stored in the soil) during the non-growing season.  This would have to be evaluated.  How would this be evaluated considering different application rates, different soil types, different species and density of plantings?</t>
  </si>
  <si>
    <t>Raw Sewage</t>
  </si>
  <si>
    <t>20 - 70 mg/L N
4 - 12 mg/L P</t>
  </si>
  <si>
    <t>● Requires a Title 5 System for other gray water sources.</t>
  </si>
  <si>
    <t>● Targets pollutants at the source.
● Reduce fertilizer requirement and associated environmental impacts.</t>
  </si>
  <si>
    <t>● Require ongoing maintenance to function correctly.
● Resulting nutrient removal rates are highly dependent on homeowner / landowner behavior and participation in the program.
● Requires a significant number of citizens to participate to be effective.
● Requires independent citizens to change systems to be cost effective.</t>
  </si>
  <si>
    <t>Expect limited public acceptance or implementation.  Basement or other space needed for waterless remote receptacle directly below. OR additional space needed to include in bathroom served.</t>
  </si>
  <si>
    <t>● Targets pollutants at the source.</t>
  </si>
  <si>
    <t>Expect Limited public acceptance or implementation. One benefit of this over previous type is that installation could be on 2nd story.</t>
  </si>
  <si>
    <t xml:space="preserve">Expect Limited public acceptance or implementation.  </t>
  </si>
  <si>
    <t>Non-Structural Technologies</t>
  </si>
  <si>
    <t>N and P in Fertilizer Products</t>
  </si>
  <si>
    <t>Varies</t>
  </si>
  <si>
    <t>● Varies</t>
  </si>
  <si>
    <t>● Very easily scalable.</t>
  </si>
  <si>
    <t>● Requires the creation and enforce of stormwater regulations and policies.</t>
  </si>
  <si>
    <t>Raw Sewage
Septic Tank Effluent</t>
  </si>
  <si>
    <t>● N/A</t>
  </si>
  <si>
    <t>● High density existing development can be effectively treated at lower costs than adding new wastewater infrastructure.</t>
  </si>
  <si>
    <t xml:space="preserve">● Existing development needs to be proximate to the existing WWTF.
● A town can purchase and operate the WWTF if the existing owner prefers to not take the responsibility of treating the of site wastewater.
</t>
  </si>
  <si>
    <t>(1) Personal interview: Scott Horsley
(2) This technology should be encouraged, but would be difficult to quantify potential nitrogen reductions without conducting site specific analyses.</t>
  </si>
  <si>
    <t>These will help promote smart growth and are good goals.  Challenge is to quantify load reduction impacts.</t>
  </si>
  <si>
    <t>Compact and Open Space Development</t>
  </si>
  <si>
    <t>● Small lots provide density that lowers wastewater collection costs. 
● Less lawn area reduces water and fertilizer use. 
● Common disposal reduces costs.</t>
  </si>
  <si>
    <t>● May require the adoption of a zoning bylaw amendment that promotes/requires landowners to design compact developments.</t>
  </si>
  <si>
    <t>(1) This technology should be encouraged, but would be difficult to quantify potential nitrogen reductions without conducting site specific analyses.</t>
  </si>
  <si>
    <t>May require a that a town pass a bylaw meeting some resistance.</t>
  </si>
  <si>
    <t>Inlet / Culvert Widening</t>
  </si>
  <si>
    <t>Nutrient Enriched Surface Waters</t>
  </si>
  <si>
    <t xml:space="preserve">Nitrogen
Phosphorus                        </t>
  </si>
  <si>
    <t>● Site specific requirements, based on existing culvert bridge dimensions, hydraulics and other characteristics.</t>
  </si>
  <si>
    <t>NA</t>
  </si>
  <si>
    <t>● Undeveloped land of &gt; 5 acres.
● Upstream of areas that typically flood.
● Not within Priority habitat areas.
● Not within Protected open space.
● Must be adjacent to influent source (river or water body) to avoid excessive pumping.
● Topographic considerations are essential to reduce energy use and ensure water movement through system.</t>
  </si>
  <si>
    <t>(1) Average Removal Rate from Kadlec and Knight.  Treatment Wetlands (P 419).
(2) Average treatment capacity of two remediation wetland projects (Des Plaines River Wetland Demonstration Project and Richland Chambers Wetland.
(3) Range of wetland costs adjusted to 2012 dollars from Constructed Wetlands Treatment of Municipal Wastewaters. EPA.1999. (P 132-133.)
(4) Range of O&amp;M values adjusted for inflation From  Jim Kreissl. Constructed Wetlands Treatment for Nutrient Treatment for Nutrient Reduction.  Presentation at POTW Nutrient Reduction and Efficiency Workshop,  2008.
(5) Kadlec and Knight.  Treatment Wetlands (P  463).
(6) 1 acre of  SSF CTW will treat 50-75 homes/acre Total Nitrogen at 330 gpd. Assumptions: Q= 330 gpd (1.25 mg/l); Ci = 20 mg/l; Ce = 5 mg/l (TN), k (areal removal rate constant): 4-15 m/yr. C* = 0 mg/l (background).  Equates to 0.015 to 0.025 acres/330 gpd.
(7) These are Constructed Treatment Wetland Cells often designed as FWS cells constructed in an upland location, lined and sized accordingly based on design flow to manage (Q), influent pollutant concentration(Ci), and target goal for effluent concentration (Ce) along with a decay constant (k) (areal rate constant).  Much of the information presented above for FWS wetlands is applicable here, direct gravity discharge is preferred over pumping and many pollutants can be managed with these systems including nutrients (N, P), TSS, BOD, pH, suspended metals, TPH and pathogens. These systems can often be integrated as tertiary polishing units depending on the pollutant for existing surface waters to be directed through.  If a system like this is integrated with an existing impaired surface water, flood management/mitigation needs to be fully evaluated.  There are some passive benefits of these systems including creating aquatic habitat for a wide range of fish, amphibians and other wildlife.</t>
  </si>
  <si>
    <t>Appropriate as polishing.  Need to emphasize application as source reduction vs. in situ treatment.
Main concerns from Wetlands Program are aquatic organism movement and operation during floods since water is typically diverted from a river through treatment lagoons, then back to river downstream. Mechanisms would need to be put in place to safe guard aquatic organism passage.
Only applicable in cases where much of the load is through riverine systems - will not deal with groundwater inputs.
Infiltration is not necessarily N removal at the watershed or coastal scale.</t>
  </si>
  <si>
    <t>Pond Bottom Sediments</t>
  </si>
  <si>
    <t>Nutrients from Sediments Removed</t>
  </si>
  <si>
    <t>● Site specific requirements, based on hydraulics and other characteristics.</t>
  </si>
  <si>
    <t>● Removes nutrients from pond or estuary that can leach out over time.</t>
  </si>
  <si>
    <t>● Relatively inexpensive.
● Collection system unnecessary.</t>
  </si>
  <si>
    <t xml:space="preserve">Effectiveness of these treatment systems is generally well documented. </t>
  </si>
  <si>
    <t xml:space="preserve">Property owner responsible for maintenance.  </t>
  </si>
  <si>
    <t>● Generally lower cost effectiveness in terms of nutrient removal than shared systems.</t>
  </si>
  <si>
    <t>Property owner responsible for maintenance and/or O&amp;M contract.  Recommend BOH require copy of contract in building file.  Caution: if I/A installed on Sale of home as buyers not always aware of O&amp;M requirements.</t>
  </si>
  <si>
    <t>● Higher treatment efficiency than individual systems.  
● Potentially lower transport costs than wastewater treatment facilities.</t>
  </si>
  <si>
    <t xml:space="preserve">● May require the installation of a collection system.
● Generally lower treatment efficiencies than conventional wastewater treatment facilities.
● May not meet the nitrogen standards without the  additional of methanol (or other carbon source) and/or alkalinity adjustment requiring a professional operator
● All systems discharging greater than 2,000 gpd require a dosed leaching field. 
</t>
  </si>
  <si>
    <t>Community System managed by contract operator hired by neighborhood association or property management company.</t>
  </si>
  <si>
    <t>● May require the installation of a collection system.
● Generally lower treatment efficiencies than conventional wastewater treatment facilities.</t>
  </si>
  <si>
    <t>● 314 CMR 5.00 and MassDEP.</t>
  </si>
  <si>
    <t xml:space="preserve">● Higher treatment efficiency than individual systems.  </t>
  </si>
  <si>
    <t>● Requires the installation of a collection system increasing costs and disruption within roadways.
● Significantly higher maintenance, monitoring, and reporting costs than individual or cluster systems.
● Requires larger land areas for facilities and disposal.</t>
  </si>
  <si>
    <t xml:space="preserve">● Requires the installation of a collection system increasing costs and disruption within roadways.
● Significantly higher maintenance, monitoring, and reporting costs than individual or cluster systems.
● Requires larger land areas for facilities and disposal.
</t>
  </si>
  <si>
    <t>● Typically constructed in roadways and minimal on private property.
● Coordination with existing utilities.
● Roadway reconstruction/restoration.
● On-site systems; minimal impact to utilities; permitting (wetlands), and private property restoration.</t>
  </si>
  <si>
    <t>● Requires conveyance of solids contained in raw sewage that could require the gravity main to be installed deep in the ground increasing costs.
● Technology more expensive that other collection systems (LPS, VS STEP and STEG).
● Expensive due to required pump stations and force mains.
● Requires land for pump stations.
● Deep construction.</t>
  </si>
  <si>
    <t xml:space="preserve">As we have seen with other projects, the type of collection system (conventional, grinder pumps, vacuum, STEP, etc.) is not as important matching up the right alternative to the site specific conditions.  One type is neither superior to the others nor should be used to the exclusion of others. </t>
  </si>
  <si>
    <t>● May require construction of shared vacuum structures on private property.
● Vacuum Structures require regular O&amp;M checks
● Requires land for central vacuum stations - similar to conventional pump station.
● Typically higher O&amp;M to gravity collection</t>
  </si>
  <si>
    <t>● Eliminates the need for institutional controls associated with systems that involve on-site pumps (LPS, STEP and STEG).</t>
  </si>
  <si>
    <t xml:space="preserve">● Requires land acquisition.
● Technology more expensive that other collection systems (LPS, VS STEP and STEG).
</t>
  </si>
  <si>
    <t xml:space="preserve">● Institutional controls may be necessary to ensure systems are functioning properly.
● Requires construction on private property.
● May require electric service upgrade.
● May require interior pluming modifications.
● Limited storage capacity during power outages.
</t>
  </si>
  <si>
    <t xml:space="preserve">Septic Tank Effluent
</t>
  </si>
  <si>
    <t>● Typically constructed in roadways and on private property.
● On-site systems; minimal impact to utilities; permitting (wetlands), and private property restoration.</t>
  </si>
  <si>
    <t xml:space="preserve">● Potential reduced costs over conventional collection systems.
● Easily adaptable to existing septic tank systems.
● The septic tank retains a majority of the grease thereby eliminating clogging problems with the pumping system and force mains.
● Septic tank has at least 12-24 hours of storage capacity during power blackouts.
● Does not require land acquisition.
</t>
  </si>
  <si>
    <t xml:space="preserve">● Institutional controls may be necessary to ensure systems are functioning properly.
● Requires construction on private property.
● Septage (grease and sludge) must be pumped from each individual septic tank.
● Anaerobic septic tanks generate odors and methane gas.
</t>
  </si>
  <si>
    <t xml:space="preserve">Septic Tank Effluent
or
Black Water
</t>
  </si>
  <si>
    <t>● Potential reduced costs over conventional collection systems.
● Easily adaptable to existing septic tank systems.
● The septic tank retains a majority of the grease thereby eliminating clogging problems with the pumping system and force mains.
● Septic tank has at least 12-24 hours of storage capacity during power blackouts.
● Does not require land acquisition.</t>
  </si>
  <si>
    <t>Each (Interior Plumbing Reconfiguration)</t>
  </si>
  <si>
    <t>Effluent Disposal - Infiltration Basins</t>
  </si>
  <si>
    <t>● 314 CMR 5.00</t>
  </si>
  <si>
    <t>● Lower construction costs than soil absorption systems (SAS).
● Easy access to soils underlying discharge.</t>
  </si>
  <si>
    <t>Effluent Disposal - Soil Absorption System (SAS)</t>
  </si>
  <si>
    <t xml:space="preserve">Septic Tank Effluent
Secondary Effluent
Advanced Effluent
</t>
  </si>
  <si>
    <t>● Virtually no above ground utilities.
● Can be installed in public areas (fields, under gold course fairways, parks, etc.).</t>
  </si>
  <si>
    <t>● Requires the most land area of discharge options.
● Generally most expensive (Land and construction costs) of the land discharge options.</t>
  </si>
  <si>
    <t>Effluent Disposal - Injection Well</t>
  </si>
  <si>
    <t>Advanced Effluent</t>
  </si>
  <si>
    <t>● Requires only a fraction of the land area needed for infiltration basins or soil absorption systems.
● Can be installed on very small parcels or within easements.
● Injection wells can be installed through shallow fine layers that may limit or prohibit the installation of infiltration basins or soil absorption systems. 
● Discharge generally occurs deeper in the aquifer, where the effluent can travel below surface waters and some water supplies.
● Virtually no above ground utilities.</t>
  </si>
  <si>
    <t>● High level of treatment required.
● Capital and O&amp;M costs are high due to pumping.
● Requires higher level of hydrogeologic investigation than infiltration basin and soil absorption systems (SAS).
● Extensive permitting issues; presently not an accepted technology by MassDEP.</t>
  </si>
  <si>
    <t>Pilot study likely requiring establishment of baseline water quality and monitoring once pilot project is online.  The pilot study results will likely be used to determine the effectiveness and efficiency of the technology before allowing full implementation.
MassDEP has not permitted an injection well in the past.  MassDEP will need to be reconsider allowing the testing  and installation of the technology.</t>
  </si>
  <si>
    <t>Effluent Disposal - Wick Well</t>
  </si>
  <si>
    <t>● Requires only a fraction of the land area needed for infiltration basins or soil absorption systems.
● Can be installed on very small parcels or within easement areas.
● Low capital and O&amp;M costs compared to the other discharge options.
● Wicks can be installed through shallow layers of fine soils that may limit or prohibit the installation of infiltration basins or soil absorption systems. 
● Virtually no above ground utilities.
● Easy access to wicks for monitoring.</t>
  </si>
  <si>
    <t>● Higher level of treatment than infiltration basins and soil absorption systems (SAS) discharges may be required.
● May require a higher level of hydrogeologic investigation than infiltration basin and soil absorption systems (SAS).
● Higher level of permitting (MassDEP) may be required than infiltration basins or soil absorption systems (SAS).</t>
  </si>
  <si>
    <t>MassDEP has in the past, but may need to be updated on the performance of the existing wicks.</t>
  </si>
  <si>
    <t>Effluent Disposal - Ocean Outfall</t>
  </si>
  <si>
    <r>
      <t>● Acceptable</t>
    </r>
    <r>
      <rPr>
        <strike/>
        <sz val="10"/>
        <rFont val="Times New Roman"/>
        <family val="1"/>
      </rPr>
      <t xml:space="preserve"> </t>
    </r>
    <r>
      <rPr>
        <sz val="10"/>
        <rFont val="Times New Roman"/>
        <family val="1"/>
      </rPr>
      <t>pipe or force main alignments.
● Ocean discharge site - Issues are: dilution and dispersion characteristics; fisheries impacts; SA classification (O&amp;G, toxicity, pathogens, etc.), ocean bottom impacts, distance from WWTF, and geotechnical site suitability.</t>
    </r>
  </si>
  <si>
    <t>● High level of nutrient reduction as nutrients are removed from the watershed.
● Reliable, proven technology.
● Long life-cycle systems.
● Suitable for larger facilities in densely developed areas.</t>
  </si>
  <si>
    <t xml:space="preserve">MassDEP will have to reconsider allowing ocean outfalls as these discharges have not been allowed for several years due to the Ocean Protection Act.
This alternative should be strongly considered if a site away from the estuaries can be located.  Not a simple alternative to implement but would eliminate many of the other issues we have and completely remove all the nutrients from the estuary.  </t>
  </si>
  <si>
    <t>Potential for public resistance.  However, there is a groundswell of opinion growing that believes the time has come to reconsider the existing barriers to ocean outfall.</t>
  </si>
  <si>
    <t>Effluent Transport out of Watershed to Recharge, Reuse Facility or Ocean Outfall</t>
  </si>
  <si>
    <t>Gravity or force main conveyance of treated effluent from  the WWTF site to groundwater recharge, reuse or disposal site outside of the watershed.  Effluent Transport out of the watershed has the advantage of removing the nitrogen load to another watershed.  Transport to another watershed requires the receiving watershed to be able to accommodate the additional nitrogen load.</t>
  </si>
  <si>
    <t>● Acceptable pipe or force main alignments.
● Suitable site for pumping station (0.25 to 0.5 acre).
● GW recharge or disposal site (2 to 4 gpd/sf) with necessary redundant area.
● 314 CMR 5.00.
● Issues are: in-basin recharge areas limiting N credit, distance from WWTF, geotechnical site suitability, Zone IIs, abutter concerns, and disease vectors.</t>
  </si>
  <si>
    <t>Effluent Transport Out of Watershed: (a) May not require wetlands permitting.  However, raises concern with potential base flow reduction that supports water surface level in wetlands; (b) Effects on local water balance need to be assessed; and (c) This can upset hydrologic balance to wetland systems - dry out these systems and elute nutrients released from sediments and create additional problems.  Need to assure water tight collection system.</t>
  </si>
  <si>
    <t>If reuse is considered, may meet with public resistance.  However, there is a groundswell of opinion growing that believes the time has come to reconsider the existing barriers to ocean outfall as well as increasing effluent reuse.</t>
  </si>
  <si>
    <t>Onsite-Decentralized and
Cluster Systems</t>
  </si>
  <si>
    <t>Next Generation On-site System Technologies
(currently under development)</t>
  </si>
  <si>
    <t xml:space="preserve">CalTech decentralized wastewater treatment system (community toilet system) that uses an electrochemical reactor.  Prototypes will be field tested in December 2013
</t>
  </si>
  <si>
    <t xml:space="preserve">ClearPod System by Bright Water Technologies (Canada).  Microbe bio-column is placed into current septic tank; and air pumps increase circulate air into tank to increase microbial activity. 
</t>
  </si>
  <si>
    <t xml:space="preserve">Applied Environmental Technologies (AET) - Energy and Nutrient Extraction from Onsite Wastewater.
</t>
  </si>
  <si>
    <t xml:space="preserve">Enviro Utilities, Inc., Electrolytic Reactor for N Removal from Existing Septic Tanks.
</t>
  </si>
  <si>
    <t>EPA SBIR funded project for Phase 1 (proof of concept) which will be finished in November 2013.</t>
  </si>
  <si>
    <t>Small Scale MBR</t>
  </si>
  <si>
    <t>BUSSE Green Technologies, Inc. - Small footprint and odorless system installed in basement of structure.  Currently under development.</t>
  </si>
  <si>
    <t>EPA SBIR funded project for Phase 1 (proof of concept) which will be finished in November 2014.</t>
  </si>
  <si>
    <t>On-Site Grey Water Treatment</t>
  </si>
  <si>
    <t xml:space="preserve">On-site grey water treatment processes include filtration and UV disinfection units. Pump is used to reticulate the treated grey water for toilet flushing, lawn irrigation, and car washing.
</t>
  </si>
  <si>
    <t>Household Grey Water</t>
  </si>
  <si>
    <t>N &lt; 25 mg/L
P &lt; 10 mg/L</t>
  </si>
  <si>
    <t>Other</t>
  </si>
  <si>
    <t>Digester and Combined Heat Power Unit</t>
  </si>
  <si>
    <t xml:space="preserve">Residential human excretion is co-digested with food waste and restaurant grease. Combined heat and power unit is installed to recover heat and generate electricity. 
</t>
  </si>
  <si>
    <t>Pathogens, Nutrients, TSS, BOD, TOC</t>
  </si>
  <si>
    <t>● Toilet flushing water, food waste, grease trap from restaurant.</t>
  </si>
  <si>
    <t>Switch from Fuels that Deliver Nitrogen to Watersheds</t>
  </si>
  <si>
    <t>Switching to electric or natural gas vehicles.</t>
  </si>
  <si>
    <t>Minimizes N-loading on impervious surfaces</t>
  </si>
  <si>
    <t>Solids Processing</t>
  </si>
  <si>
    <t>● Requires a truck loading station.</t>
  </si>
  <si>
    <t>● Low capital cost.
● Uncomplicated and easily implemented.
● Option of using unthickened or thickened sludge.
● Potential savings using liquid disposal.  If this a large plant this statement will not be true.
● Guaranteed disposal.
● Minimal maintenance (liquid disposal).</t>
  </si>
  <si>
    <t>Requires a dewatering device onsite to increase to increase the solid content to a level that will meet a paint filter test and other local requirements.  The degree of stabilization required for the landfills need to be coordinated with landfill(s) in the region.</t>
  </si>
  <si>
    <t>● Requires a dewatering device and truck loading station.
● Landfill(s) in the area willing to take dewatered cake will need to be identified.</t>
  </si>
  <si>
    <t>● Potential to Handle Entire Waste Stream.
● Phased Development.</t>
  </si>
  <si>
    <t>● Requires a dewatering devices before composting. 
● The area required for depends on type of composting (windrow, aerated static pile or in vessel). 
● Design and selection of an applicable composting site will depend on land area available, distance from neighbors and availability and source of amendment materials.  If close to neighbors the system will likely need to be enclosed with odor control.</t>
  </si>
  <si>
    <t>● Beneficial use.
● Produces a class A product that is more marketable than other types of biosolids.
● Generally simple process that is relatively easy to operate and maintain.
● Well proven technology.
● Potential Income Source.
● Minor Regulatory Requirements.</t>
  </si>
  <si>
    <t>● Requires a dewatering device and building to house the incineration equipment.
● Incineration takes up a fairly small footprint when compared to other technologies.  Will likely not be feasible in a non-attainment area.</t>
  </si>
  <si>
    <t xml:space="preserve">● Requires a dewatering device and in most cases lime is mixed with the solids in a pug mill or other mixing device, however, there are a few installations where lime is added prior to dewatering.  </t>
  </si>
  <si>
    <t>● Consumes a relatively large footprint for digester tanks and they are typically sized for &gt; 60 day HRT at peak month or peak 15 day conditions to meet EPA Class B requirements for wastewater that is at 10°C.  Shorter HRTs can be used but then site specific pathogen testing is required to ensure Class B.
● Dewatering and other further processes may be desired after digestion to reduce volume and hauling requirements.</t>
  </si>
  <si>
    <t xml:space="preserve">● Requires a relatively small footprint compared to other stabilization technologies.
● Reduces volume for disposition.
● Does not require chemical additives.
● Generates a potentially marketable product.
● Proven process with several established vendors.
</t>
  </si>
  <si>
    <t xml:space="preserve">Gasiﬁcation is a process used to convert organic waste to a fuel gas called syngas, and has been practiced since the 1800s to generate fuel gas from coal and other biomass. Syngas is composed mainly of CO, CO2, H2 and CH4 and has a low heating value of 120-150 British Thermal Units (BTU)/cubic feet (cu. ft.), which is approximately 25% of the heat value of biogas generated from anaerobic digestion. The heat value of the syngas can, however, be increased if steam or enriched air (mostly oxygen) is used as the gasification medium.
The final product is an inert ash, slag or biochar that will either be beneficially used or disposed of in the landfill.
Although gasification is common in many industries, gasification of biosolids is still considered innovative as defined by the EPA. Currently, there are several biosolids gasification installations worldwide.  One of the larger differences between traditional organic materials used as the fuel source in gasification and biosolids is the higher ash content of biosolids. </t>
  </si>
  <si>
    <t>● Requires upstream dewatering and drying but generally consumes a relatively small footprint.</t>
  </si>
  <si>
    <t xml:space="preserve">● Potential for lower emissions than incineration technologies.
● Energy and electrical production potential.
● Stabilization (digestion) of biosolids is not required - raw dewatered sludge has higher thermal content than digested biosolids.
● Complete destruction of pathogens and organic portion of the feed.
● Minimize hauling and disposition of biosolids
● Potential to generate “green energy”.
</t>
  </si>
  <si>
    <t xml:space="preserve">● Limited commercial scale experience for biosolids. 
● High capital costs.
● Air permits likely required and may be difficult to differentiate from incineration.
● Potential for ash and slag to fuse and generate Clinkers.  Some systems may not be suitable with some sludge’s depending on ash softening and melting point temperatures.
● Chemical consumption for flue gas and or syngas polishing.
</t>
  </si>
  <si>
    <t>Influent Load for Calculations (mg/L)</t>
  </si>
  <si>
    <t>Habitat / Wildlife / Biodiversity Benefit</t>
  </si>
  <si>
    <t>Flooding / Extreme Events Benefit</t>
  </si>
  <si>
    <t>Development</t>
  </si>
  <si>
    <t>Each (On-site PS)</t>
  </si>
  <si>
    <t>Hydroponic Treatment</t>
  </si>
  <si>
    <t>Remarks</t>
  </si>
  <si>
    <t>Implementation</t>
  </si>
  <si>
    <t xml:space="preserve">Requires more data for regulatory approval.  Pilot study likely, requiring establishment of baseline water quality and monitoring once pilot project is online.  The pilot study results will likely be used to determine the effectiveness and efficiency of the technology before allowing full implementation.
Other wetlands type systems (e.g. Ocean Arks) utilizing plants in reactor basins have shown that little of the nutrients are taken up by plants and that the roots and root hairs mimic fixed film reactors thereby providing the bulk of the treatment.  In natural wetlands, most of denitrification occurs through anoxic sediments with labile carbon.  These are the main conditions that a constructed wetland would have to mimic.  It would seem that these should accept secondary treated effluent at a minimum, not primary treatment.  The removal rates exceed natural wetlands and therefore would have to be managed carefully to achieve these high removal rates.
May required a NPDES discharge permit.  Level of pretreatment, particularly is primary treatment sufficient or may require a minimum of secondary treatment.  Need storage of effluent during non-growing season.
 There is a wide range of reported removal rates because efficiency depends on many factors, e.g., carbon availability, DO, fraction N as NO3, loading rate, etc.  Review Kadlec for data on systems with similar operating conditions to those proposed rather than just taking an average value.  Also, there are some wastewater treatment wetlands used year-round in cold climates and some operating techniques have been developed to improve performance during cold months.
The vegetation aren't "filtering" anything but providing substrate and a carbon source. 
Constructed Wetlands with Free Water Surface for wastewater and stormwater treatment: The projected nitrogen and phosphorus removal contained in the matrix on a percentage basis is higher than may have reported by other parties. Nutrient removal may vary depending on the water depth, temperature, hydraulic residence time, hydro-period (e.g. less light in the winter means plant and algae activity diminishes) and density and type of plant species. Nutrient transformation is also provided by algae and bacteria in addition to the plant uptake mentioned. Shallower water depths may promote greater denitrification. Nutrient removal rate will diminish when system is overloaded, so setting the effluent loading rate is key to providing sustained long term treatment. Having disturbed soils as indicated may not increase hydraulic residence time. Siting in previously disturbed soils requires careful geotechnical investigation. It indicates ideal if parcel intersects with 50 – 100 foot “buffer zone.” I’m not sure if this refers to the 100-foot buffer zone. If the constructed wetland is proposed within the wetland buffer zone, it would require permitting pursuant to Wetland regulations. A setback of at least 50-horizontal feet, if not greater, between the treatment system and a wetland resource area may be advisable to prevent short circuiting of the treatment. Groundwater mound forms under the constructed wetland due to the presence of the permanent pool. This mound will merge with the piezometric surface of the water table. Since nitrates are highly soluble, once they get in the groundwater, they will be able potentially at the speed of the wetting front. The soil in such an instance may serve as main mechanism to slow the nitrate movement. Closer distance to wetland means more nitrates potentially may flow into the wetland more quickly. This would argue for establishing greater wetland setback. Vegetation may need to be harvested on regular basis to provide actual nutrient removal. Otherwise vegetation dieback in winter releases nutrients in constructed treatment wetland. Comments/questions asks “wetland effluent discharged into a water body or used for open space irrigation.” Discharging to wetland resource area requires permitting pursuant to Wetlands regulations. Provided a NPDES individual wastewater authorization is granted, Wetlands issuing authority would have to presume water quality criteria is met and could only review construction related impacts. All wetland resource areas are not equal. Larger systems such as rivers or ocean are able to assimilate greater amounts of nutrients through dilution than smaller wetland systems. Plus the nature of the wetland, coastal or inland is important. To reduce nitrogen effects on coastal wetlands, the treatment system discharge should ideally be directed to 1) recharge, and 2) inland rivers of sufficient size to dilute any nutrients remaining in the effluent. Phosphorus remaining in the effluent is concern for inland rivers, so increasing the hydraulic residence time and disposing the treated effluent via recharge beds would be preferable approach as far as wetlands permitting is concerned. Plus, recharge would assist in maintaining base flows to nearby wetland resource areas.                                                         </t>
  </si>
  <si>
    <t xml:space="preserve">Impact may be limited based on overall contribution from fertilizers.
Potentially an easy way of removing substantial nutrients from the system.  This should be required to be part of any nutrient reduction program.
Source reduction makes the most sense. Avoids reliance on voluntary implementation which is  not required.  This is often ignored but a definite contributing component. </t>
  </si>
  <si>
    <t>Unknown</t>
  </si>
  <si>
    <t>● Lower capital and annual O&amp;M cost than tertiary treatment.  
● Easy to integrate public recreation amenities.  
● Proven Technology.  
● Suited for ammonia removal.</t>
  </si>
  <si>
    <t xml:space="preserve">● Requires larger land area than tertiary treatment.  
● Disinfection of wetland influent may be required.  
● May require an NPDES permit.  
● May require a pilot study, long-term monitoring and reporting.  
● Vegetation harvesting may need to be performed periodically.
● May require fencing and security measures.   
● May attract water fowl which could only N issue. 
● These systems on the Cape may need to be lined to prevent complete infiltration and allow time for N removal rather than just putting N into groundwater.
● May Need storage of effluent during non-growing season.
*Systems not designed to remove phosphorus.  Phosphorus removal in these smaller systems requires lengthy retention times and/or use of specialized media to increase sorption    
**Based on 44,000GPD / 2.08 acre total treatment area for Fields of St Croix constructed wetland system in Lake Elmo, MN      </t>
  </si>
  <si>
    <t>● Higher maintenance in first few years.
● May require carbon source initially. 
● Can become clogged over time.  Phosphorous removal may decline over time.
● May require fencing and security measures.   
● May attract water fowl which could aggravate N issue.  
● In addition, on the Cape, these systems may need to be lined to prevent complete infiltration and allow time for N removal rather than just putting N into groundwater.</t>
  </si>
  <si>
    <t>● Require high energy and maintenance costs as these systems are generally constructed in greenhouses.
●  Low phosphorus removal rates.</t>
  </si>
  <si>
    <t>● Resulting nutrient removal rates are highly dependent on homeowner / landowner behavior and participation in the program.
● Requires a significant number of citizens to participate to be effective.
● Still requires septic tank and leaching field for grey water.
● The proprietary nature of this technology will impose high fees for waste removal and maintenance. Agree Concerns with waste management and collection.</t>
  </si>
  <si>
    <t xml:space="preserve">● Resulting nutrient removal rates are highly dependent on homeowner / landowner behavior and participation in the program.
● Requires a significant number of citizens to participate to be effective.
● Requires a company infrastructure to pick up package. On-● Tight tank for urine storage requires.  In general, the plastic storage tank is designed to hold 600 liters. </t>
  </si>
  <si>
    <t>● Minimal implementation cost, 
● Reduction of fertilizer costs to homeowners/landowners due to reduced use.</t>
  </si>
  <si>
    <t>● Resulting nutrient removal rates are highly dependent on homeowner / landowner behavior and participation in the program.
● Site-specific assessments are needed to estimate load reductions.</t>
  </si>
  <si>
    <t>● Shifts the nitrogen load from more environmentally sensitive areas
● Potentially lowers infrastructure and O&amp;M costs as housing density is allowed/encouraged in village, economic centers, or other compact development.</t>
  </si>
  <si>
    <t>● Commodity transferred must provide financial and/or regulatory incentive to transfer .development potential from one place to another.
● Requires adoption of a zoning bylaw amendment that authorizes landowners to transfer development rights.</t>
  </si>
  <si>
    <t xml:space="preserve">● Returns estuary to more natural hydrologic regime.
● Generally less scour and deposition.
● Low incremental O&amp;M costs.
● Sustainable technology.
● Increased tidal flushing decreases nitrogen residence time and average concentrations in estuaries and tidal marshes upstream of bridges and culverts (take it out description and add it as advantage).
● Larger openings increase flow capacity and thus tend to reduce flow velocities.
● Larger openings provide increased capacity for flood flows resulting in less overtopping of roadways.
● Larger openings provide for debris passage and thus reduce the potential for snags and clogging.  This reduces maintenance costs.
● Depending on the size of the bridge/culvert the increased size could allow for public access via boat and/or kayak to the upstream estuary or from the estuary to the downstream creek or beach.
●  May  have additional benefits for AOP.
</t>
  </si>
  <si>
    <t>● Widening a tidal culvert or bridge could increase the depth of flooding during high tides and storm surges in flood prone area and upstream of the structure.
● Disruption of coastal processes must be considered.
● Can have significant construction impacts.
● Permitting requirements may be extensive and time consuming.
● Modeling is required to accurately predict the upstream tidal and coastal process impacts of the culvert/bridge modifications that can be costly.
● Will only "return an estuary to a more natural hydrologic regime" if the original opening has been restricted.</t>
  </si>
  <si>
    <t xml:space="preserve">● Large land area required per amount of nitrogen removed.  
● Requires existing open space for construction.
</t>
  </si>
  <si>
    <t>● Permitting requirements may be extensive and time consuming.
● Testing of sediment required.  
● Dredging can be highly disruptive to biological communities.
 ● Depending on what other contaminants may be present in the sediments, disposal of the sediments may be costly.</t>
  </si>
  <si>
    <t>● Negligible nutrient removal.
● Replacement system may be costly depending on design of the original system, land limitations, Board of Health regulations.</t>
  </si>
  <si>
    <t xml:space="preserve">● Potential reduced capital costs over conventional collection systems.
● Small-diameter pipe (nominal depth)  easily installed.
● Not easily expanded in response to growth.
● Does not require land acquisition.
</t>
  </si>
  <si>
    <t>● Requires pump installation on private property</t>
  </si>
  <si>
    <t>● Institutional controls may be necessary to ensure systems are functioning properly.
● Requires construction on private property.
● Septage (grease and sludge) must be pumped from each individual septic tank
● Anaerobic septic tanks generate odors and methane gas.
● May require electric service upgrade.</t>
  </si>
  <si>
    <t>● Requires periodic maintenance of the basins.
● Requires large area of open land.
● Potential safety concerns.</t>
  </si>
  <si>
    <t>● Relatively high capital and O&amp;M cost
● Extensive permitting issues (Possible Interbasin Transfer, etc.).
● Siting and abutter issues.
● Discharge sub watershed and watershed must be able to handle the additional nutrient load.</t>
  </si>
  <si>
    <t xml:space="preserve">● Reliance on Others.
● Not A Sludge Reuse Option.
● Uncertain Long-Term Costs.
● Does not address disposal of grit and screenings.  Grit and screenings are typically hauled and dealt with separately so there should be a separate line items for this function.  </t>
  </si>
  <si>
    <t>● Not a Reuse Option.
● Land Intensive and NIMBY Issues.
● Potential for Odors.
● Long-Term Monitoring Required.
● High Initial Capital Cost if new landfill is required to be constructed.
● Not sustainable in the long term.</t>
  </si>
  <si>
    <t>● Relatively high O&amp;M cost.
● Many systems are labor intensive.
● Reliance on demand for end product.
● Market study needed.
● Sludge type assessment required.
● Winter months impact distribution and marketing and wintertime storage is typically required.
● Potential for odors and typically not well suited for raw primary sludges.</t>
  </si>
  <si>
    <t>● Eliminates pathogens and toxic compounds.
● Potential energy recovery.
● Significant volume reduction.
● Byproduct is an inert sterile ash.
● Small footprint.
● Well proven  technology.</t>
  </si>
  <si>
    <t>● High capital cost.
● High O&amp;M.
● Significant emission and regulatory requirements especially with newer SSI rules.
● Requires highly skilled personnel to operate.
● May require supplemental fossil fuels.
● May not be feasible in a non-attainment area.
● Complex process with lots of instrumentation and controls (mainly for flue gas treatment).
● Potential for public opposition.
● Requires ash disposal or beneficial use location.</t>
  </si>
  <si>
    <t xml:space="preserve">● Simple to Operate.
● Can be designed to meet Class A or Class B requirements for pathogen and vector attraction reduction.
● Simple technology requiring few special skills for reliable operation.
● Easy to construct of readily available parts.
● Small land area required.
● Flexible operation, easily started and stopped.
</t>
  </si>
  <si>
    <t>● The resulting product is not suitable for use on all soils. 
● Volume of final material is increased which increases transportation costs.
● Odor and dust potential.
● Potential for pathogen regrowth if the pH drops below 9.5 while the material is stored prior to use.
● Plant available nitrogen and phosphorous content is reduced.</t>
  </si>
  <si>
    <t xml:space="preserve">● Well proven process.
● Potential for electrical energy and heat recovery from biogas.
● Good pathogen inactivation.
● Operationally quite stable once started.
● Low net energy requirements.
● Odor potential is low for anaerobic digestion with proper operation.
● Low operating costs.
● Stabilized and reduces the volume of residual solids for disposition or reuse.
</t>
  </si>
  <si>
    <t xml:space="preserve">● Relatively high capitals cost.
● Large fuel requirements.
● Payback from sale of Class A product may not “pay back” high operating costs.
● Potential to create dust.
● Fire and explosion risks.
● Relatively complex system, requires highly trained operating staff.
● Odor potential.
● Potential for odorous and dusty end product.
</t>
  </si>
  <si>
    <t xml:space="preserve">● The incineration process demolishes any nutrients found in human waste - meaning it cannot be used for nourishing soil. It saves water, but uses more energy.
● Resulting nutrient removal rates are highly dependent on homeowner / landowner behavior and participation in the program.
● Requires a significant number of citizens to participate to be effective.
● Still requires septic tank and leaching field for grey water.
● The proprietary nature of this technology will impose high fees for waste removal and maintenance. Agree Concerns with waste management and collection.
</t>
  </si>
  <si>
    <t>Pond and Estuary Circulators</t>
  </si>
  <si>
    <t xml:space="preserve">● Site specific requirements based on the characteristics of the estuary or pond. 
● A location(s) within the estuary or pond to permanently locate floating island. </t>
  </si>
  <si>
    <t>● Site specific requirements based on the characteristics of the estuary. 
● Suitable substrate in saltwater/estuarine environments.
● Suitable area within estuary to seed and grow shellfish..</t>
  </si>
  <si>
    <t>Energy Savings / Nutrient Recovery / Recycling Benefit</t>
  </si>
  <si>
    <t>Green Space / Conservation / Recreation Benefit</t>
  </si>
  <si>
    <t>● Low capital and annual O&amp;M costs.  
● Easy to install.
● Nutrient uptake is not seasonal as microbes in the root zone uptake nutrients year around.
● The nutrient and groundwater uptake vary based on the plants and/or trees</t>
  </si>
  <si>
    <t>Title 5 Septic System Replacement 
(Base Line Condition)</t>
  </si>
  <si>
    <t>Percent
Labor</t>
  </si>
  <si>
    <t>Effluent Disposal - Drip Irrigation</t>
  </si>
  <si>
    <t>Septic Tank Effluent, Secondary Effluent
Advanced Effluent</t>
  </si>
  <si>
    <t>Chemical Treatment of Ponds</t>
  </si>
  <si>
    <t>?</t>
  </si>
  <si>
    <t>● Targets pollutants at the source.
● Incinerating toilets do not use water, resulting in no waste of water.  The ash left behind after incineration is sterile, and safe for disposal.  They are portable, easy to install and use, and work no matter how cold the weather. They are ideal for isolated locations, where there may be no water, sewage lines, or power.</t>
  </si>
  <si>
    <t>● Expensive capital cost, might require services for maintaining treatment unit.</t>
  </si>
  <si>
    <t>● Reuse and recycle treated grey water, reduce municipal water supply, potentially enhance the resilience of water supply.</t>
  </si>
  <si>
    <t>● Generate electricity and heat for community, create jobs, reduce and treat solid waste; New business opportunity.</t>
  </si>
  <si>
    <t xml:space="preserve">● Expensive capital cost, Requires lots of independent citizen to change systems to be cost effective. </t>
  </si>
  <si>
    <t>Potential Land Use Implication That May Require Growth Management Modifications</t>
  </si>
  <si>
    <t>● Increase cost for pilot study.
● Increase cost for permitting.</t>
  </si>
  <si>
    <t>● Increase cost for permitting.</t>
  </si>
  <si>
    <t>● Increase cost for pilot study.
● Increase cost for permitting.
● Increase cost for local oversight/management.</t>
  </si>
  <si>
    <t>● Increase cost for permitting.
● Increase cost for local oversight/management.</t>
  </si>
  <si>
    <t>● Increase cost for local oversight/management.</t>
  </si>
  <si>
    <t>● Increase cost for planning study.
● Increase cost for permitting.</t>
  </si>
  <si>
    <t>● Increase cost for design.
● Increase cost for permitting.
● Increase cost for long term monitoring.</t>
  </si>
  <si>
    <t>● Increase cost for design.
● Increase cost for permitting.
● Increase cost for regulatory changes required.</t>
  </si>
  <si>
    <t>● Increase cost for pilot study.
● Increase cost for design.
● Increase cost for permitting.
● Increase cost for long term monitoring.</t>
  </si>
  <si>
    <t>● Decrease cost for design.
● Decrease cost for permitting.</t>
  </si>
  <si>
    <t>● Increase cost for hydro-geo study.
● Increase cost for permitting.</t>
  </si>
  <si>
    <t>● Increase cost for long term monitoring.</t>
  </si>
  <si>
    <t>● Decrease cost for design.
● Decrease cost for permitting.
● Increase cost for long term monitoring.</t>
  </si>
  <si>
    <t>● Increase cost for design.
● Increase cost for permitting.</t>
  </si>
  <si>
    <t>Infrastructure to Consider when Designing and Pricing Technology / Strategy</t>
  </si>
  <si>
    <t>Technology / Strategy</t>
  </si>
  <si>
    <t xml:space="preserve">● Well proven process.
● Good pathogen inactivation.
● Odor potential is low for aerobic digestion with proper operation.
● Simple to operate.
● Stabilizes and reduces the volume of residual solids for disposition or reuse.
</t>
  </si>
  <si>
    <t>● Collection System 
● Wastewater Treatment  
● Effluent Disposal
● Solids Collection, Treatment and Disposal</t>
  </si>
  <si>
    <t>● Collection System 
● Effluent Disposal
● Solids Collection, Treatment and Disposal</t>
  </si>
  <si>
    <t>● Wastewater Treatment  
● Effluent Disposal
● Solids Collection, Treatment and Disposal</t>
  </si>
  <si>
    <t>● Collection System 
● Wastewater Treatment  
● Solids Collection, Treatment and Disposal</t>
  </si>
  <si>
    <t>● Solids Collection, Treatment and Disposal</t>
  </si>
  <si>
    <t xml:space="preserve">● Collection System 
● Wastewater Treatment  
● Effluent Disposal
</t>
  </si>
  <si>
    <t>● Collection System 
● Wastewater Treatment  
● Effluent Disposal</t>
  </si>
  <si>
    <t>● Returns estuary to more natural hydrologic regime.
● Generally less scour and deposition.
● Low incremental O&amp;M costs.
● Sustainable technology.
● Allows for the growth of native species along with biodiversity.
● Provides pH buffer through carbon sequestration
● Allows for sediment accretion.
● Provides water filtration resulting in less turbidity and better water quality.</t>
  </si>
  <si>
    <t>● Returns estuary to more natural hydrologic regime.
● Low incremental O&amp;M costs.
● Sustainable technology.
● Returns estuary to more natural hydrologic regime.
● Allows for the growth of native species along with biodiversity.
● Provides water filtration resulting in less turbidity and better water quality.</t>
  </si>
  <si>
    <t>● Returns estuary to more natural hydrologic regime.
● Generally less scour and deposition.
● Low incremental O&amp;M costs.
● Sustainable technology.
● Returns estuary to more natural hydrologic regime.
● Sustainable technology.
● Allows for the growth of native species along with biodiversity.
● Provides water filtration resulting in less turbidity and better water quality.</t>
  </si>
  <si>
    <t>● Returns estuary to more natural hydrologic regime.
● Generally less scour and deposition.
● Low incremental O&amp;M costs.
● Sustainable technology.
● Returns estuary to more natural hydrologic regime.
● Allows for the growth of native species while increasing biodiversity.
● Provides water filtration resulting in less turbidity and better water quality.</t>
  </si>
  <si>
    <t xml:space="preserve">Once the wastewater has been collected and treated at a WWTF, the treated wastewater (effluent) is generally disposed of to groundwater.  drip irrigation uses small  diameter, porous tubing to discharge the effluent within a foot of the ground surface and within the root zone of vegetation.  The plants uptake a portion of the discharge including nitrogen and phosphorus, lowering nitrogen and phosphorus concentration before reaching the water table. 
Drip irrigation can potentially be used with septic system and I/A septic systems to further nitrogen and phosphorus discharge concentrations.  As with discharges from WWTFs, nitrogen and phosphorus uptake occurs in the root zone of plants.  There is also a potential cost savings installing drip irrigation instead of conventional leachfields or soil absorption systems.
</t>
  </si>
  <si>
    <t>Surface Waters</t>
  </si>
  <si>
    <t>Phosphate</t>
  </si>
  <si>
    <t>Concerns about a connection between aluminum and Alzheimer’s have been debated for some time. More recent research points to
a gene rather than aluminum as the cause. In addition, aluminum
is found naturally in the environment.</t>
  </si>
  <si>
    <t>● Site specific requirements based on the characteristics of the estuary or pond.
● A location(s) within the estuary or pond to locate a floating island year around.</t>
  </si>
  <si>
    <t xml:space="preserve">Vegetative Tertiary Filter or VTF. The VTF incorporates the functionality of constructed wetlands
by using peat for final polishing to remove trace contaminants such as endocrine disrupting compounds,
pharmaceuticals, and personal care products (EDC/P/PCP).
Our sand filter will consume runoff from the division ramp which will transport decomposed waste from the digester. Sand filters are used to treat water through a self-contained bed of sand consisting of three basins in which plants use the separated waste as compost. The first layer removes heavy sediment in which the plants breakdown as use of fertilizer. The second is the filtration chamber which removes other pollutants, and the last is the discharge chamber in which the cleaner water is discharged. The water can be discharged into a drainage system or directly to surface water such as a river or lake. Our sand filter safely removes sediment, metals, bacteria, oil, grease, and organics while leaving the remaining nutrients. The filter also has an agricultural function as crops can be grown on top. The soil in the filter is highly fertile as the runoff from the digester acts as a fertilizer for crops giving the sand filter a dual purpose.
</t>
  </si>
  <si>
    <t>Potential for Revenue Generation</t>
  </si>
  <si>
    <t>● Dosage is dependent on the source of the phosphorus and size of water body to be treated. 
● Guidelines for alum application require that the ph remain with
the 5.5-9.0 range.</t>
  </si>
  <si>
    <t>Bottomless Sand Filters</t>
  </si>
  <si>
    <t>Wastewater is applied under low pressure to the top of a 2foot deep bed of sand media through a PVC-pipe distribution system. The distribution network is embedded in pea stone to protect it. Wastewater percolates down through the sand media and into the understory soil. Media filters with an open bottom are specifically intended to disperse wastewater into the soil immediately under and adjacent to their footprint. Unlike single-pass sand filters, the bottomless version is not buried, in order to allow for sufficient gas exchange between the filter and the atmosphere. The filter can either be installed at-grade, with 6 to 10 inches of the filter above the ground surface, or above grade, with 2 to 3 feet of filter above grade.</t>
  </si>
  <si>
    <t>Vegetated Sand Filters</t>
  </si>
  <si>
    <t xml:space="preserve">● Binds with phosphorus not allowing it to be used by algae reducing algal blooms..
● Low O&amp;M costs.
</t>
  </si>
  <si>
    <t>● Must meet Board of Health standards.
● May require Title 5 replacement/upgrade.</t>
  </si>
  <si>
    <t>1 to 10</t>
  </si>
  <si>
    <t xml:space="preserve"> 1 to 3</t>
  </si>
  <si>
    <t xml:space="preserve"> 1 to 10</t>
  </si>
  <si>
    <t>0.5 to 3</t>
  </si>
  <si>
    <t>1 to 5</t>
  </si>
  <si>
    <t>0.5 to 1</t>
  </si>
  <si>
    <t>Cluster Treatment System - Single-stage</t>
  </si>
  <si>
    <t>Toilets: Composting</t>
  </si>
  <si>
    <t>Toilets: Incinerating</t>
  </si>
  <si>
    <t>Toilets: Packaging</t>
  </si>
  <si>
    <t>Toilets: Urine Diverting</t>
  </si>
  <si>
    <t>Floating Constructed Wetlands</t>
  </si>
  <si>
    <t>Acre</t>
  </si>
  <si>
    <t>Septage Processing</t>
  </si>
  <si>
    <t>Gallon</t>
  </si>
  <si>
    <t>Land Cost</t>
  </si>
  <si>
    <t>Phytoirrigation</t>
  </si>
  <si>
    <t>Groundwater
Stormwater</t>
  </si>
  <si>
    <t>● Periodic laboratory analysis of influent and effluent for nutrients and other site specific compounds.</t>
  </si>
  <si>
    <t>● 2 to 4</t>
  </si>
  <si>
    <t>● $2,500 to $5,000</t>
  </si>
  <si>
    <t>● Will likely require meeting stringent and costly water reuse regulations including increased treatment and monitoring requirements.
● Plants can only be irrigated during growing season (about 3 months).
● For tree systems, it takes several years before plants are mature enough to uptake the take maximum number of gallons per day requiring the effluent be held in holding ponds until the irrigation season.</t>
  </si>
  <si>
    <t>Evaluation Monitoring</t>
  </si>
  <si>
    <t>Estimated Years of Evaluation Monitoring Required</t>
  </si>
  <si>
    <t>Long-Term O&amp;M Monitoring</t>
  </si>
  <si>
    <t>● Periodic laboratory analysis of influent and effluent for nutrients, microbes, VOCs and other compounds.
● Periodic laboratory analysis of groundwater for nutrients, microbes, VOCs and other compounds.</t>
  </si>
  <si>
    <t>Estimated Annual Long- Term O&amp;M Monitoring Costs</t>
  </si>
  <si>
    <t>$10,000 to $15,000</t>
  </si>
  <si>
    <t>Periodic Visual Inspections.</t>
  </si>
  <si>
    <t>● Periodic Visual and Homeowner Compliance Inspections.</t>
  </si>
  <si>
    <t>$200 to $300</t>
  </si>
  <si>
    <t>● Periodic laboratory analysis of WWTF effluent for nutrients, microbes, VOCs and other compounds.
● Periodic laboratory analysis of groundwater for nutrients, microbes, VOCs and other compounds.</t>
  </si>
  <si>
    <t>● Periodic laboratory analysis of surface waters for nutrient, microbe, and other compounds.
● Periodic laboratory analysis of shellfish meat and shell for nutrient concentrations and other compounds.
● Periodic vegetative assessment.</t>
  </si>
  <si>
    <t>● Periodic laboratory analysis of influent and effluent for nutrients, microbes, VOCs and other compounds.
● Periodic laboratory analysis of groundwater for nutrients, microbes, VOCs and other compounds.
● Periodic vegetative assessment.</t>
  </si>
  <si>
    <t>● Periodic laboratory analysis of groundwater for nutrients, microbes, VOCs and other compounds.</t>
  </si>
  <si>
    <t>$15,000 to $25,000</t>
  </si>
  <si>
    <t>● Periodic laboratory analysis of pond sediments and vegetative assessment.</t>
  </si>
  <si>
    <t>Useful Life (Number of Years)</t>
  </si>
  <si>
    <t>1 - 10 mg/L N
0.5 - 3 mg/L P</t>
  </si>
  <si>
    <t>● Very efficient and requires less land area than Free Water Surface wetlands.
● Water stays below surface so may not require disinfection.
● Lower capital and annual O&amp;M cost than secondary and tertiary treatment.  
● Easy to integrate public recreation amenities.  
● Proven Technology.  
● Suited for nitrate and nitrate removal</t>
  </si>
  <si>
    <t>0.5 - 2.5 mg/L N</t>
  </si>
  <si>
    <t>1 - 20 mg/L N
0.5 - 10 mg/L P</t>
  </si>
  <si>
    <t>M</t>
  </si>
  <si>
    <t>H</t>
  </si>
  <si>
    <t>N</t>
  </si>
  <si>
    <t>L</t>
  </si>
  <si>
    <t>Fertigation Wells - Turf</t>
  </si>
  <si>
    <t>See notes under composting toilets.</t>
  </si>
  <si>
    <t>Appears to require substantial re-plumbing of the system and sufficient basement/lower level area for waste storage.  Unclear how the waste would be removed from the house and then where the waste would go for processing/treatment.
This is essentially bagging human waste for curbside pickup.  While this should be listed to document consideration, this is one alternative that should be dropped from further consideration based on public health concerns of residents actually having to handle their waste.
Source reduction makes the most sense.  More information on package disposal is warranted.
See notes under composting toilets.</t>
  </si>
  <si>
    <t>Appears to require substantial re-plumbing of the system and sufficient basement/lower level area for waste storage.  Unclear how the waste would be removed from the house and then where the waste would go for processing/treatment.
This only addresses urine and does not consider treatment of fecal waste or grey water.  End use needs to be fully defined as combinations of reclamation (P recovery) or direct use as fertilizer.  Latter involves some public health concerns.
Source reduction makes the most sense but to the extent that groundwater inputs will continue to provide loadings to the estuaries, this would have to be supplemented with other measures.
Avoided fertilizer by utilizing the collected urine which can be used as fertilizer to replace synthetic fertilizer.   Tight tank for urine storage requires.  In general, the plastic storage tank is designed to hold 600 liters. 
See notes under composting toilets.</t>
  </si>
  <si>
    <t>Effectiveness of these treatment systems is generally well documented.
A single poorly managed I/A system only disrupts flow from one location.  A poorly managed shared A/I technology disrupts flow from many.  Prefer to see dispersal of final treated effluent over a broader landscape as apposed to a central location if an issue arises.
Systems need to be watched or remotely monitored.  
Monitoring online should be a requirement so owners can monitor their system's performance</t>
  </si>
  <si>
    <t xml:space="preserve">Systems need to be watched or remotely monitored.  </t>
  </si>
  <si>
    <t>Monitoring online should be a requirement so owners can monitor their system's performance</t>
  </si>
  <si>
    <t>A single poorly managed I/A system only disrupts flow from one location.  A poorly managed shared A/I technology disrupts flow from many.  Prefer to see dispersal of final treated effluent over a broader landscape as apposed to a central location if an issue arises.
Systems need to be watched or remotely monitored.  
Monitoring online should be a requirement so owners can monitor their system's performance</t>
  </si>
  <si>
    <t xml:space="preserve">Need to take care with potentially changing habitats.
</t>
  </si>
  <si>
    <t>● Reduced cost for engineering.
● Reduced cost for permitting.
● Increase cost for local oversight/management.</t>
  </si>
  <si>
    <t>Aquaculture - Mariculture</t>
  </si>
  <si>
    <t>Aquaculture - Shellfish Cultivated In Estuary Bed</t>
  </si>
  <si>
    <t>● Suitable area within estuary to cultivate mariculture.</t>
  </si>
  <si>
    <t>● Low cost per pound of nitrogen removed.
● Potential positive economic impacts.
● One of few approaches to effectively sink natural nitrogen sources.
● Can help manage soil and silt run-off and buffers against coastal erosion.
● Can improved water quality parameters in addition to nitrogen.
● Provides carbon sequestration and  can buffer ocean acidification.
● Increases biodiversity and supports plant life survivability for eel grass and other species.
● Increases critical commercial and recreational fish populations.
● Economic benefits (commercial shellfish harvesting).
● Aquaculture can enhance other types of benthic denitrification rates, but the rate is variable.</t>
  </si>
  <si>
    <t>● Low cost per pound of nitrogen removed.
● Potential positive economic impacts.
● One of few approaches to effectively sink natural nitrogen sources.
● Can improved water quality parameters in addition to nitrogen.
● Increases biodiversity and supports plant life survivability for eel grass and other species.
● Increases critical commercial and recreational fish populations.</t>
  </si>
  <si>
    <t>● May not be applicable in all watersheds due to growing conditions, aesthetics or navigation.
● Seasonal nitrogen uptake although coincident with natural cycle and algal blooms.
● Requires removal of shellfish. in order to take credit for nitrogen removal.
● Nitrogen uptake subject to possible disruption due to disease or population crash.
● Population monitoring is important to maintain persistence of the benefit.
● Large concentrations of shellfish can generate waste products, reduce dissolved oxygen levels, and possibly generate ammonia.
● Shellfish will undergo rapid growth to a marketable size after which they must be harvested. The entire process is then be repeated. If this is not economically viable for harvesting and selling the shellfish, the harvested shellfish will have to be disposed of. 
● Can require large areas to gain significant nitrogen removal.
● If the  waterbody is closed for shell fishing, management of the shellfish by the town (or other) will be required to prevent the shellfish from getting into the food supply.</t>
  </si>
  <si>
    <t>Cost per Pound of Nitrogen Reduction</t>
  </si>
  <si>
    <t>Cost per Kilogram of Nitrogen Reduction</t>
  </si>
  <si>
    <t>Cost per Pound of Phosphorous Reduction</t>
  </si>
  <si>
    <t>Cost per Kilogram of Phosphorous Reduction</t>
  </si>
  <si>
    <t>Replacement  / Upgrade Cost</t>
  </si>
  <si>
    <t>Total Replacement / Upgrade Cost</t>
  </si>
  <si>
    <t xml:space="preserve">Pounds of
Nitrogen
Removed </t>
  </si>
  <si>
    <t>Kilograms of
Nitrogen Removed</t>
  </si>
  <si>
    <t>Pounds of
Phosphorous Removed</t>
  </si>
  <si>
    <t>Kilograms of
Phosphorous Removed</t>
  </si>
  <si>
    <t>BCCR Amortized Average Cost for Nutrient Reducing Technology
Cost/kg N (see Note 9)</t>
  </si>
  <si>
    <t xml:space="preserve">Estimated Annual Evaluation Monitoring Costs </t>
  </si>
  <si>
    <t>Nitrogen
(mg/L)</t>
  </si>
  <si>
    <t>10. H = High; M = Medium; L = Low; and N/A = Not Applicable</t>
  </si>
  <si>
    <t>A conventional collection system is a system of piping and pumps used to collect and convey raw wastewater from homes and businesses to a WWTF.  The system may consist of a combination of gravity and force mains, low pressure sewer with individual service pumps, and vacuum systems with a dedicated vacuum station serving multiple collection structures.</t>
  </si>
  <si>
    <t>A septic tank effluent gravity (STEG) system consists of on-site piping that collects wastewater from septic tanks and conveys it to a WWTF for treatment.  Gravity sewers convey the wastewater from on-site tanks to the sewer system.  Only the liquid component of the wastewater only can be conveyed by gravity.</t>
  </si>
  <si>
    <t xml:space="preserve">A septic tank effluent pump (STEP) system consists of on-site piping and pumps that collects wastewater from septic tanks and conveys it to a WWTF for treatment.  Small diameter low-pressure sewers convey the wastewater from on-site tanks to the sewer system.  Only the liquid component of the wastewater can be conveyed by pumps.  </t>
  </si>
  <si>
    <t xml:space="preserve">Once the wastewater has been collected and treated at a WWTF, the treated wastewater (effluent) is generally disposed to groundwater through an infiltration basin.  An infiltration basin is an unlined basin or pit excavated at the ground surface.  The effluent is discharged into the pit where it percolates into the underlying soils recharging, the groundwater.
</t>
  </si>
  <si>
    <t>Once the wastewater has been collected and treated at a WWTF, the treated wastewater (effluent) is generally discharged to groundwater.  A subsurface soil absorption system (SAS) is a subsurface means of discharging WWTF effluent.  A SAS is similar to a leachfield, and can be installed below ball fields, parks, parking lots and open space areas.</t>
  </si>
  <si>
    <t xml:space="preserve">Once the wastewater has been collected and treated at a WWTF, the treated wastewater (effluent) is generally disposed to groundwater.  Injection wells are a series of wells that are capable of injecting WWTF effluent into groundwater.  If geologic conditions are right, an injection well can discharge the effluent deep in the aquifer where it may not resurface until it reaches the ocean.  Injection wells require a highly treated effluent for injection, but have the advantage of using only a fraction of the land area required for an equivalent discharge through infiltration basins or SAS systems.
</t>
  </si>
  <si>
    <t>Once the wastewater has been collected and treated at a WWTF, the treated wastewater (effluent) is generally disposed to groundwater.  Wicks are large diameter conduits of stone that allow for the rapid infiltration of effluent to the underlying groundwater.  The effluent is discharged into a wick (two to six feet in diameter) where it is infiltrated into the aquifer until it reaches the ocean.  Wicks do not require a highly treated effluent like injection wells, but they still have the advantage of using only a fraction of the land area required for an equivalent discharge through infiltration basins and SAS systems.</t>
  </si>
  <si>
    <t>Contract with a service company to pick-up, haul and dispose of sludge.  The service company is responsible for providing tank trucks to pick-up and haul the sludge at appropriate intervals and making arrangements for the sludge to be further processed for beneficial use or disposal at a suitable facility.</t>
  </si>
  <si>
    <t>Composting is an aerobic process in which biodegradable material is decomposed by aerobic microorganisms in a controlled environment.  The heat generated in composting pasteurizes the product, significantly reducing pathogens. The heat generated also drives off water vapor, further dewatering the product and reducing reuse volume. Composting that is performed according to regulatory guidelines produces Class A Biosolids.  Composting that is performed properly produces a nuisance-free humus like material.  The three different methods of composting typically used for wastewater sludge are aerated static pile, windrow, and in-vessel composting.  All composting processes generally include common basic steps.  First, the dewatered sludge is mixed with an amendment and/or bulking agent to increase porosity of the mixture and provide a carbon source to improve the degradability of the compost.  A rule of thumb for composting is to have a 25 – 35 to one ratio of carbon to nitrogen (mass basis). The resulting mixture is piled or placed in a vessel where microbial activity causes the temperature to rise starting the “active composting” period. The desired temperature required for optimal operation and end quality vary based on the method of composting and desired use of the end product.  After the “active composting” period is complete, the material is cured and distributed.</t>
  </si>
  <si>
    <t>Incineration or advanced thermal oxidation is a combustion reaction that occurs in the presence of excess oxygen.  Incineration is the most commonly used thermal conversion process practiced for sewage sludge today.  Fluid Bed and Multiple Hearth Incineration are established technologies and are the most common types of incineration used for sewage sludge.  Multiple Hearth Incineration is now considered an outdated technology and very few if any new systems are being constructed.  Incineration of sludges converts the waste into ash, flue gas, and heat.  Flue gas treatment is required and the EPA has recently implemented strict air permitting regulations and control limits for new sewage sludge incinerators.  In some cases, the heat generated by incineration can be recovered for electrical generation or other waste heat purposes.</t>
  </si>
  <si>
    <t>Lime stabilization involves addition of lime to biosolids in order to raise the pH to levels unfavorable for pathogen growth. The heat produced by the reaction of the lime with the water in the biosolids raises the pH and temperature of the biosolids sufficiently to comply with EPA’s 40CFR Part 503 regulations for pathogen destruction for either Class A or Class B biosolids.  The process converts sewage sludge into a stable product, improves the density and physical handling characteristics of the biosolids and offers a cost-effective, flexible, and environmentally protective alternative that promotes beneficial reuse.  The lime stabilized biosolids provide a rich source of essential fertilizer to farmland, improve acidic soils, and are excellent for land reclamation and as soil substitute for landfill cover or as soil conditioner.</t>
  </si>
  <si>
    <t>Conventional high rate anaerobic digestion involves the decomposition of organic matter and inorganic matter in the absence of oxygen.  The decomposition process produces a digester gas that consists of mostly methane (~65%) and carbon dioxide (~35%).  Anaerobic digestion of municipal wastewater solids can, in many cases, produce sufficient digester gas to meet the energy requirements of digestion and other plant operations.  Therefore, due to the emphasis on energy conservation and recovery, the process continues to be advantageous for stabilizing solids.  In principle, the conversion of organic matter to carbon dioxide and methane reduces biological solids leaving the digestion process.  Digestion can reduce the total volume of solids to be dewatered and the polymer cost for dewatering.  The process is typically operated at mesophilic conditions (~35°C) but some plants also operate at thermophilic conditions (~55°C) to increase reaction rate and provide a greater degree of pathogen reduction.</t>
  </si>
  <si>
    <t>Aerobic digestion is a well proven process and is similar to activated sludge processes used in secondary treatment.  Under aerobic conditions, microbes rapidly consume organic matter and convert it into carbon dioxide.  Once there is a lack of organic matter, bacteria die and are used as food by other bacteria and this stage of the process is known as endogenous respiration.  Aerobic digestion is most commonly practiced at plants rated for less than 5 MGD.  Aerobic digestion typically yields high volatile solids destruction, has a low BOD concentration in the side streams from dewatering, produces a relatively odorless stable end product, maintains a high nutrient value in the biosolids, is simple to operate and involves relatively low capital costs.  The aerobic process, however, requires a lot of air input which causes the process to have a high electrical consumption.  The resulting liquid biosolids are typically difficult to dewater.  The process is also very dependent on operating conditions and does not produce a useful energy producing byproduct (methane) like anaerobic digestion.  Conventional Aerobic digestion produces Class B biosolids.</t>
  </si>
  <si>
    <t>Thermal dryers come in several types, all of which operate with the goal of decreasing water content in wastewater sludge.  Drying is typically used in the last stage of solids processing and is done in combination with a dewatering process.  Dryers are typically fed with dewatered sludge at approximately 10-35% DS and dry the biosolids to 90-96% DS.  Sludge fed to dryers can be either undigested or digested dewatered sludge, although some vendors have restrictions with handling undigested primary sludge.  As a general rule upstream digestion is typically recommended for primary sludge due to potential for odors in the final product.  Dryers are able to produce Class A biosolids which can be beneficially used for land spreading.  Even if beneficial use is not the desired option, the drying process greatly reduces the storage, transportation and disposal cost since it significantly lowers the water content and reduces the weight.  The dried biosolids can also be used as a renewable energy source.  Dryers are generally classified as either direct (convective) dryers or indirect (conductive) dryers.  Direct dryers use a drying medium such as hot air, which comes in direct contact with the sludge to increase the sludge temperature through convective heat transfer and evaporate the water in the sludge.  Indirect dryers use a medium such as hot oil or steam that heats the sludge through a conducting surface, so that the heating medium does not come in direct contact with the sludge.</t>
  </si>
  <si>
    <t>Treatment Systems</t>
  </si>
  <si>
    <t>On-Site Treatment Systems</t>
  </si>
  <si>
    <t>Stormwater BMP - Vegetated Swale</t>
  </si>
  <si>
    <t>● Increase cost for permitting
● Increase cost for local oversight/management.</t>
  </si>
  <si>
    <t>● Very easily scalable.
Treats stormwater runoff
• Reduces peak stormwater flows
• Provides local flood control
• Improves quality of local surface waterways
• Enhances the beauty of residential, commercial or
industrial sites
• Provides wildlife habitat
• Reduces soil erosion
• Provides effective year-round stormwater treatment in
cold climates</t>
  </si>
  <si>
    <t>Coastal Habitat Restoration</t>
  </si>
  <si>
    <t>Constructed Wetlands - Groundwater Treatment</t>
  </si>
  <si>
    <t>3 - 35 mg/L N
1 - 5 mg/L P</t>
  </si>
  <si>
    <t>● Highly scalable and customizable.
● Lower capital and annual O&amp;M cost than secondary and tertiary treatment.  
● Easy to integrate public recreation amenities.  
● Proven Technology.  
● Suited for nitrate and nitrite removal</t>
  </si>
  <si>
    <t>Potential Permitting Agencies</t>
  </si>
  <si>
    <t>● Increase cost for pilot study.
● Increase cost for local oversight/management.</t>
  </si>
  <si>
    <t>Constructed Wetlands - Subsurface Flow</t>
  </si>
  <si>
    <t>● Undeveloped land &gt; 1 Acre.
● Outside all wetlands resource areas. 
● Outside 100 year flood hazard zone.
● Groundwater separation - GW depth &gt; 4 feet.
● Not within priority habitat areas.
● Not within protected open space. 
● Benefit if site has clay based soils, has disturbed soils, parcel intersects with 50 to 100 foot Buffer zone, has municipal ownership. 
● No steep topography.</t>
  </si>
  <si>
    <t>● Undeveloped open land &gt; 1 acre.
● GW depth &gt; 4 feet.
● Permeable soils.
● Outside all wetlands resource areas. 
● Outside 100 year flood hazard zone.</t>
  </si>
  <si>
    <t xml:space="preserve">● Increase cost for pilot study.
● Increase cost for permitting.
● Increase cost for local oversight/management.
● May require storage or alternate disposal when unable to irrigate.
</t>
  </si>
  <si>
    <t>Draft MS-4 will be instructing towns to design systems that will help mitigate pollutants where there is an approved TMDL.  Towns will need to start thinking about certain contaminants and treating for them.
Good management practices, but will be difficult to quantify effect.
EPA updating stormwater regulations (see Southeast Watershed Alliance website for an example).
Siting requirements are all site specific, the reality is that there are only a few systems effective at N removal.
Street sweeping study conducted by USGS for MassDEP provided removal rate for total phosphorus of 9% with three times per week sweeping, 8% for monthly sweeping, using a regenerative-air sweeper.  Mechanical broom sweepers were found to have lower removal efficiency (3% TP removal for three times per week sweeping, and 1.4% TP removal for monthly sweeping).  The USGS study was conducted in Cambridge which has urban tree network. In locations with less tree canopy, phosphorus removal efficiency would likely be less, because the street load is less.
Towns should review requirements in permit requiring impervious surfaces – i.e. towns tend to oversize parking areas for commercial facilities.</t>
  </si>
  <si>
    <t>Draft MS-4 will be instructing towns to design systems that will help mitigate pollutants where there is an approved TMDL.  Towns will need to start thinking about certain contaminants and treating for them.</t>
  </si>
  <si>
    <t>Time for Results to Improve Estuary Water body
(Years)</t>
  </si>
  <si>
    <t xml:space="preserve">● Agricultural bio-produce can be produced and sold (biofuel, hay etc.).  
● Lower capital cost than tertiary treatment.  
● Potentially a good strategy for areas where more effluent is generate during the summer (plant growing season.  
● Bio solids can also be applied.
</t>
  </si>
  <si>
    <t xml:space="preserve">● Agricultural bio-produce can be produced and sold (biofuel, hay etc.).  
● Lower capital cost than tertiary treatment.  
● Potentially a good strategy for areas where more effluent is generate during the summer (plant growing season.  
● Biosolids can also be applied.
</t>
  </si>
  <si>
    <t xml:space="preserve">Pilot study likely requiring establishment of baseline water quality and monitoring once pilot project is online.  The pilot study results will likely be used to determine the effectiveness and efficiency of the technology before allowing full implementation.
Need to work closely with the ongoing Cape demonstration projects to evaluate those data. 
Some areas have had to use horse mussels instead of blue mussels and oysters.  
Will need to coordinate with Division of Marine Fisheries (DMF).
Towns may want to consider looking at mariculture instead of oyster aquiculture.  Mariculture uses seaweeds to reduce nitrogen loads.
There is some concern over habitat displacement.  Care will need to be taken when placing aquiculture projects.
Aquaculture is a biological system.  Mariculture can be susceptible to disease, mass die-offs, etc.  This needs to be factored in when  designing a nitrogen removal plan, specifically, aquaculture should not be the only strategy incase of a mass die-off.
Towns need to consider other issues that relate to maintenance of living organisms
Hyannis and long island have mariculture projects.  May want to discuss with them.
</t>
  </si>
  <si>
    <t>● Siting can be limited by wetlands,  public utilities and abutter concerns.  
● Detailed knowledge of local groundwater hydrology.
● Projects may require a hydrogeologic investigation and groundwater modeling to estimate effectiveness of PRB.
● Permitting requirements may be extensive and time consuming.
● Projects may require extensive groundwater monitoring early in the project to quantify nitrogen load reduction.
● Projects may require  groundwater monitoring near or in embayments as well as monitoring of vegetation and benthic monitoring where groundwater surfaces in the receiving estuary.</t>
  </si>
  <si>
    <t>● Periodic laboratory analysis of groundwater for nutrients, microbes, VOCs and other compounds.
● Projects may require extensive groundwater monitoring early in the project to quantify nitrogen load reduction.
● Projects may require  groundwater monitoring near or in embayments as well as monitoring of vegetation and benthic monitoring where groundwater surfaces in the receiving estuary.</t>
  </si>
  <si>
    <t>Pilot study likely requiring establishment of baseline water quality and monitoring once pilot project is online.  The pilot study results will likely be used to determine the effectiveness and efficiency of the technology before allowing full implementation.
Need to monitor the Falmouth demonstration projects for local data.  Need to insure entire plume is intercepted, evaluate longevity.  Potentially involves significant permitting issues depending upon location.
This Phosphate removal range seems high for homeowner systems that are retrofitted.
A Big issue will be carbon source life expectancy and its replacement, especially for homeowner systems.  Another is siting the PRB...it needs to be down gradient of the leach field, which is not always intuitively obvious, and it is doubtful that a decent investigation will identify GW flow for homeowner systems. 
PRBs for existing septic systems could be a remarkably effective solution on the Cape and demonstration projects are recommended.</t>
  </si>
  <si>
    <t xml:space="preserve">A permeable reactive barrier (PRB) is an in-situ (installed within the aquifer) treatment zone designed to intercept nitrogen enriched groundwater.  Through use of a carbon source, microbes in the groundwater uptake the nitrogen, denitrifying the groundwater.
An injection Well PRB system typically uses a series of injection wells to introduce the carbon source into the groundwater.   The injection wells can be installed to depth greater than the PRB trench method.  The injection well PRB method can be used in combination with the PRB trenching method described above.
As groundwater flows through the wall, the wall provides a carbon source (food) for microbes living in the groundwater.  The carbon food source provides a food source for microbes in the groundwater.  The microbes consume the carbon source as well as oxygen developing an anaerobic environment which releases nitrogen gas to the atmosphere, reducing the groundwater nitrogen load before reaching the estuary.  
</t>
  </si>
  <si>
    <t>● Suitable groundwater flow path (depth to intercept groundwater). 
● Generally at least 20 feet of saturated aquifer thickness is desired
● In general, the injection well PRB can be installing areas with steeper topography than a trench PRB..
● In general, the injection well PRB can be installing areas where utilities limit the installation of trench PRBs..
● Ready access for construction 
● Access to sites up gradient or down gradient to allow groundwater monitoring.
● Permitting requirements if used in or near wetlands. 
●Construction cost based on 20-foot spacing between injection wells installed to an overall depth of 40 feet. Deeper installations are possible.</t>
  </si>
  <si>
    <t>● Siting can be limited by wetlands,  public utilities and abutter concerns.  
● Detailed knowledge of local groundwater hydrology.
● Large projects may require a hydrogeologic investigation and groundwater modeling to estimate effectiveness of PRB.
● Permitting requirements may be extensive and time consuming.
● Projects may require extensive groundwater monitoring early in the project to quantify nitrogen load reduction.
● Projects may require  groundwater monitoring near or in embayments as well as monitoring of vegetation and benthic monitoring where groundwater surfaces in the receiving estuary.</t>
  </si>
  <si>
    <t>● Fertigation wells should be located down gradient of nutrient source areas such as wastewater treatment plant disposal fields and compact development.
● They can also be positioned down gradient of high-density subdivisions where they might capture nutrients derived from both septic systems and residential lawns.
● The specific locations, depths and diameters can be optimized using standard hydrogeologic principles.</t>
  </si>
  <si>
    <t>● Seasonal technology potentially requiring several capture wells to capture entire nutrient plume.
● Most effective in areas where groundwater contains a "plume" of high concentration of nutrients (i.e. down gradient of a WWTF discharge, etc.).  
● Need an area to irrigate for nutrient uptake.
● May require monitoring.</t>
  </si>
  <si>
    <t>Fertigation Wells - Cranberry Bogs</t>
  </si>
  <si>
    <t>● Fertigation wells should be located down gradient of nutrient source areas such as wastewater treatment plant disposal fields, golf courses, and athletic fields.
● They can also be positioned down gradient of high-density subdivisions where they might capture nutrients derived from both septic systems and residential lawns.
● The specific locations, depths and diameters can be optimized using standard hydrogeologic principles.</t>
  </si>
  <si>
    <t>Falmouth pilot in progress 1 year - 2 units installed 2013 + 13 units pending.  Pilot program offers $5,000 'incentive' but cost to purchase is at least $3,000 not including installation by licensed plumber. Septic system still required for grey water sources.
100% TN removal addresses black water only.  How is grey water handled?  Recent local data suggests that grey water has concentration of 10 mg/L TN.  Actual load will depend on flow rate, but grey water TN needs to be addressed nonetheless.
Grey water only septic system data implies up to 10% N in grey water, so 95% removal in previous cell maybe too high? Source reduction makes the most sense.
Lots of information on Univ. of Rhode Island (URI)( and George Heufelder’s web pages.
Since there is an array of different kinds of I/A systems, this will require long term monitoring and maintenance.
Agencies need to be open minded and proactive on piloting new technologies. 
Need to define what is the market for some of these technologies - CC, south coast, long Island Sound, Chesapeake Bay area and associated states.  Most of the north east has similar conditions for I/A systems.
Most existing systems will need to be replaced over the next 20 years, so good opportunity for piloting for future systems.
Should consider using eco-toilets in areas where sea level rise and storm surge may be a concern - rather than septic and I/A systems
Falmouth demonstration project for eco-toilets and UD systems already underway.</t>
  </si>
  <si>
    <t>Projected benefits need to be established through modeling.  Best if demonstrated to restore a restricted (occluded) inlet to a natural condition.
Inlet/Culvert or Culvert/Bridge widening are consistent with Massachusetts Stream Crossing Standards enforced through wetland regulations for aquatic organism and wildlife passage.  However, there will be concerns about minimizing wetland loss or changing the wetland type at the widening location. Wetlands permitting is required. 
The proposed widening included in what the Wetlands Program perceived as a salt marsh loss, which would be replaced by inland wetlands.  Salt marsh may not be disturbed under Wetland regulations even for widening of stream crossings. This illustrates that collateral impacts to wetlands must be reviewed even for projects that on the surface appear straightforward.
Increased flushing may drain one side of the culvert, however doing so may simply allow more flux of higher concentration groundwater, so this may be a zero sum game and would require further study.
Need to consider impact people’s property.  People often have converted areas that were once high salt marsh to  yard.  People concerned at loss of yard, trees, etc.
In general, an increase in the tidal exchange is considered a benefit where estuaries have become blocked over time or if tidal flush is restricted by manmade structures.</t>
  </si>
  <si>
    <t xml:space="preserve">(1) Freeman and Everhart (1971) - constant flow bioassays, to determine that concentrations of dissolved aluminum below 52  g Al/L had no obvious effect on rainbow trout. Similar results have been observed for salmon.
(2) Cooke, et al (1978) - Adopted 50 mg Al/L as a safe upper limit for post-treatment dissolved aluminum concentrations. 
(3) Kennedy and Cooke (1982) - Indicate that dissolved aluminum concentrations, regardless of dose, would remain below 50  g Al/L in the pH range 5.5 to 9.0, a dose producing post
treatment pH in this range could also be considered environmentally safe with respect to aluminum toxicity.
(4) March 2003 - Wisconsin Department of Natural Resources, Alum Treatments to Control Phosphorus In Lakes.  
(5) AECOM (2006) - Treatment Summary for Phosphors Inactivation in Long Pond, Brewster and Harwich MA. Concentration  from the sediment entering the water column is variable. Study of Long Pond in Harwich/Brewster showed concentrations  of available phosphorus within the sediment ranged from 0.6 to 4.6 g/m2 based on year 2000 data for the upper 4 cm of sediment. More recent data collected by the Town of Brewster indicates a very similar range of 0.7 to 4.5 g/m2.  A summer release of 0.6 g/m2 with only 10% reaching the epilimnion could raise the phosphorus concentration by more than 0.02 mg/L and support algal blooms.405 kg/yr (65%) to the upper waters out of a total load of between 606 and 651 kg/yr.
(6) AECOM 2009 - Minneapolis MN Parks and Recreation Board 
</t>
  </si>
  <si>
    <t>Need to define purpose.  Is it only for sequestration (or removal) of nutrient laden sediments or is it to rehabilitate a pond to increase attenuation efficiency?  If the latter, more data is needed.
Does act to removal nutrients. Requires 401 permitting if greater than 100 cubic yards.  Also requires wetlands permitting.  Testing of sediment required to determine disposal or reuse options. Because of prevalence of heavy metals, 401 testing requires testing for heavy metals concentration.  Some applicants have been surprised at level of testing required (and cost to conduct tests, when they only want to get rid of the nutrients).  Over-dredge for purposes of stormwater management not allowed under 401 and Wetland regulations.  Estuary dredging is highly disruptive to biological communities including bottom dwelling filter feeding organisms, that provide secondary basis to food chain to support fish communities caught by commercial fishermen. 
Quality of sediments a can very leading to high variance in disposal costs.
Need to define what the goals is dredging: for boat traffic, to improve flushing, improve intertidal area
Need to evaluate essential fish habitats.
Regulatory agencies do not look favorably on converting habitat types (fresh water to saline or vise versa)
.
If planning on dredging, the regulatory agencies should be notified early and often.
Need to consider whether dredging will be less than or greater than 5 meters deep.  Could make a difference in permitting..</t>
  </si>
  <si>
    <t>● Requires conveyance of solids contained in raw sewage that could additional maintenance (i.e. pigging, flushing).</t>
  </si>
  <si>
    <t xml:space="preserve">● Relatively large footprint when compared to alternative stabilization technologies.
● High capital cost.
● Recovers slowly from upset.
● Cleaning is difficult (scum and grit).
● May experience foaming.
● High ammonia concentration in cent rate following dewatering.
● If reuse options for solids residuals are not available, significant landfill disposal can be required.
● Potential for Struvite (magnesium ammonium phosphate) formation forming a scale on lines and clogs system pipes.
</t>
  </si>
  <si>
    <t xml:space="preserve">● Relatively large footprint when compared to tentative stabilization technologies.
● High operating costs due to electrical consumption
● If reuse options for solids residuals are not available, significant landfill disposal can be required.
● Does not produce a useful byproduct (methane) for renewable energy production.
</t>
  </si>
  <si>
    <t>● Requires upstream dewatering but generally consumes a relatively small footprint.
● Many times it is desired to couple thermal dryers with anaerobic digestion to allow digester gas or CHP waste heat to be used to help reduce operating costs. 
● Digestion also improves the quality and reduces the odors in the final product, especially if the plant generates primary sludges.</t>
  </si>
  <si>
    <t>● MassDEP
● Board of Health
● Department of Public Works
● Conservation Commission
● Natural Heritage
● The Nature Conservancy
● Mass Historical Commission
● Building Department</t>
  </si>
  <si>
    <t>● MassDEP
● US EPA
● MassDOT
● Department of Public Works
● Board of Health
● Conservation Commission
● Natural Heritage
● The Nature Conservancy
● Mass Historical Commission
● US Army Corps or Engineers
● Division of Marine and Fisheries
● US Fish and Wildlife Service</t>
  </si>
  <si>
    <t>● MassDEP
● Department of Public Works
● Board of Health
● Conservation Commission
● MassDOT
● Natural Heritage
● The Nature Conservancy
● Mass Historical Commission
● US Army Corps or Engineers
● US Fish and Wildlife Service
● Land Owner</t>
  </si>
  <si>
    <t>● MassDEP
● Department of Public Works
● Board of Health
● Conservation Commission
● Natural Heritage
● The Nature Conservancy
● Mass Historical Commission
● US Army Corps or Engineers
● US Fish and Wildlife Service
● Land Owner</t>
  </si>
  <si>
    <t>● MassDEP
● Board of Health
● Building Department</t>
  </si>
  <si>
    <t>● MassDEP
● Department of Public Works
● Board of Health
● Building Department</t>
  </si>
  <si>
    <t>Current ENR</t>
  </si>
  <si>
    <t>ENR</t>
  </si>
  <si>
    <t>per acre</t>
  </si>
  <si>
    <t>P</t>
  </si>
  <si>
    <t>Aquaculture</t>
  </si>
  <si>
    <t>PRBs</t>
  </si>
  <si>
    <t>Current Project Cost (PV)</t>
  </si>
  <si>
    <t>Current Annual O&amp;M Cost</t>
  </si>
  <si>
    <t>March 2014 Annual O&amp;M Cost</t>
  </si>
  <si>
    <t>March 2014 Construction Cost (PV)</t>
  </si>
  <si>
    <t>Current Construction Cost (PV)</t>
  </si>
  <si>
    <t>Nitrogen
Phosphorus
Sediment
Reduce amount of Direct Discharge to Groundwater</t>
  </si>
  <si>
    <t>Nitrogen
Phosphorus
Reduce amount of Direct Discharge to Groundwater</t>
  </si>
  <si>
    <t xml:space="preserve">Septic Tank Effluent
Primary Effluent 
Secondary Effluent
</t>
  </si>
  <si>
    <t>(1) See References - Aquaculture</t>
  </si>
  <si>
    <t>$2,500 to $5,000</t>
  </si>
  <si>
    <t>Permeable Reactive Barriers (PRBs)</t>
  </si>
  <si>
    <t xml:space="preserve"> feet</t>
  </si>
  <si>
    <t>N Captured</t>
  </si>
  <si>
    <t xml:space="preserve"> kg/lf</t>
  </si>
  <si>
    <t>PRB Length</t>
  </si>
  <si>
    <t>CCC 208 Plan</t>
  </si>
  <si>
    <t>● GW depth &gt; 4 feet.
● Footprint is greatly scalable.</t>
  </si>
  <si>
    <t>● Suitable substrate in saltwater/estuarine environments.
● Suitable area within estuary to seed and cultivate shellfish.</t>
  </si>
  <si>
    <t>● Suitable area within estuary to seed and cultivate shellfish.</t>
  </si>
  <si>
    <t>Input Cell</t>
  </si>
  <si>
    <t>Flow per Home</t>
  </si>
  <si>
    <t>Engineering News Records (ENR)</t>
  </si>
  <si>
    <t>Input table used to update the Technology Costs to current day values based on ENR Current Cost Index or Projected Cost Index.</t>
  </si>
  <si>
    <t>Input table used to update the estimated purchase costs of an acre of land.</t>
  </si>
  <si>
    <t>● Consumes a relatively large footprint for digester tanks and they are typically sized for &gt; 15 day HRT at peak month or peak 15 day conditions to meet EPA Class B requirement.
● Dewatering and other further processes may be desired after digestion to reduce volume and hauling requirements.</t>
  </si>
  <si>
    <t>Input table used to select the Influent load for Nitrogen and Phosphorous for specific Technologies.</t>
  </si>
  <si>
    <t>Icon</t>
  </si>
  <si>
    <t>Influent Source
(see Note 1)</t>
  </si>
  <si>
    <t xml:space="preserve"> 1. The typical source(s) of the Influent Discharged into the Technology.</t>
  </si>
  <si>
    <t>Pollutant Treated and/or Reason for Use
(see Note 2)</t>
  </si>
  <si>
    <t>Siting Requirements
(see Note 3)</t>
  </si>
  <si>
    <t>GPD
(ADF)
(see Note 4)</t>
  </si>
  <si>
    <t>Equivalent Number of Homes
(see Note 6)</t>
  </si>
  <si>
    <t>Nutrient Reduction (Percent Removal) (see Note 8)</t>
  </si>
  <si>
    <t>Percent Improvement of N Removal Over Title 5 (Baseline)
(see Note 9)</t>
  </si>
  <si>
    <t>Technology Impact on Surface Water Quality (Phosphorus)
(see Note 10)</t>
  </si>
  <si>
    <t>9. Influent Concentration (Baseline) is the concentration of Nitrogen (26.25 mg/L) or Phosphorus (6.8 mg/L) of a Title 5 system as compared to the concentration discharged Into the Technology.</t>
  </si>
  <si>
    <t>Nitrogen (Pounds)</t>
  </si>
  <si>
    <t>Nitrogen (Kilograms)</t>
  </si>
  <si>
    <t>Nutrient Removed per Year (see Note 11 and Note 12)</t>
  </si>
  <si>
    <t>13. Unit Metric is the measurement of technology used for cost estimating.</t>
  </si>
  <si>
    <r>
      <t>20.  The operation and maintenance cost for Constructed Wetlands - Surface Flow are based on the Cost Curve in Appendix E of the Barnstable County Cost Report (BCCR) Update (2014) which has an equation of  y = = 5.4804x</t>
    </r>
    <r>
      <rPr>
        <vertAlign val="superscript"/>
        <sz val="10"/>
        <rFont val="Times New Roman"/>
        <family val="1"/>
      </rPr>
      <t>0.7616</t>
    </r>
    <r>
      <rPr>
        <sz val="10"/>
        <rFont val="Times New Roman"/>
        <family val="1"/>
      </rPr>
      <t>.    The operation and maintenance cost for Constructed Wetlands - Horizontal Subsurface Flow are based on the Cost Curve in Appendix E of the Barnstable County Cost Report (BCCR) Update (2014) which has an equation of  y = 6.2613x</t>
    </r>
    <r>
      <rPr>
        <vertAlign val="superscript"/>
        <sz val="10"/>
        <rFont val="Times New Roman"/>
        <family val="1"/>
      </rPr>
      <t>0.747</t>
    </r>
    <r>
      <rPr>
        <sz val="10"/>
        <rFont val="Times New Roman"/>
        <family val="1"/>
      </rPr>
      <t>.  O&amp;M costs include short term pilot study monitoring costs and long term compliance monitoring costs.</t>
    </r>
  </si>
  <si>
    <r>
      <t>21.  The construction cost for PRB Trench Method are based on the Cost Curve in Appendix F of the Barnstable County Cost Report (BCCR) Update (2014) which has an equation of  y = 119.1x</t>
    </r>
    <r>
      <rPr>
        <vertAlign val="superscript"/>
        <sz val="10"/>
        <color rgb="FF000000"/>
        <rFont val="Times New Roman"/>
        <family val="1"/>
      </rPr>
      <t>-1</t>
    </r>
    <r>
      <rPr>
        <sz val="10"/>
        <color rgb="FF000000"/>
        <rFont val="Times New Roman"/>
        <family val="1"/>
      </rPr>
      <t>.    The construction cost for PRBs - Injection Well Method are based on the Cost Curve in Appendix F of the Barnstable County Cost Report (BCCR) Update (2014) which has an equation of  y = 223.32x</t>
    </r>
    <r>
      <rPr>
        <vertAlign val="superscript"/>
        <sz val="10"/>
        <color rgb="FF000000"/>
        <rFont val="Times New Roman"/>
        <family val="1"/>
      </rPr>
      <t>-1</t>
    </r>
    <r>
      <rPr>
        <sz val="10"/>
        <color rgb="FF000000"/>
        <rFont val="Times New Roman"/>
        <family val="1"/>
      </rPr>
      <t>.</t>
    </r>
  </si>
  <si>
    <t xml:space="preserve">Legend
A. Unit Metric - Measurement of Technology.
B. O&amp;M Costs - Operation and Maintenance Costs.
C. Life Cycle Costs - Present value of Project Costs plus O&amp;M costs based on a specified duration (Cell BU2) and  specified interest rate (Cell BR2).
D. Operation Time - Year Round vs Seasonal Use of Technology.
E. N = Nitrogen and P = Phosphorus.
F. GPD - Gallons per day - Used to describe the number of gallons of flow treated by the Technology.
G. I/A - Innovative / Alternative.
H. STEP = Septic Tank Effluent Pumping and STEG = Septic Tank Effluent Gravity.
I. DTPD = Dry Tons per Day.
</t>
  </si>
  <si>
    <t xml:space="preserve"> Years (see Note 24)</t>
  </si>
  <si>
    <t>(see Note 24)</t>
  </si>
  <si>
    <t>System Design Considerations
(see Note 25)</t>
  </si>
  <si>
    <t>Technology Resilience
(see Note 26)</t>
  </si>
  <si>
    <t>Eco Services (see Note 27)</t>
  </si>
  <si>
    <t>Monitoring (see Note 28)</t>
  </si>
  <si>
    <t>References, Notes, and Assumptions (see Note 29)</t>
  </si>
  <si>
    <r>
      <t xml:space="preserve">19.  The construction cost for Constructed Wetlands - Surface Flow are based on the Cost Curve in Appendix E of the Barnstable County Cost Report (BCCR) Update (2014) which has an equation of  </t>
    </r>
    <r>
      <rPr>
        <sz val="10"/>
        <rFont val="Times New Roman"/>
        <family val="1"/>
      </rPr>
      <t>y =-6E-06x</t>
    </r>
    <r>
      <rPr>
        <vertAlign val="superscript"/>
        <sz val="10"/>
        <rFont val="Times New Roman"/>
        <family val="1"/>
      </rPr>
      <t>2</t>
    </r>
    <r>
      <rPr>
        <sz val="10"/>
        <rFont val="Times New Roman"/>
        <family val="1"/>
      </rPr>
      <t xml:space="preserve"> + 27.458x + 14583.</t>
    </r>
    <r>
      <rPr>
        <vertAlign val="superscript"/>
        <sz val="10"/>
        <rFont val="Times New Roman"/>
        <family val="1"/>
      </rPr>
      <t xml:space="preserve">  </t>
    </r>
    <r>
      <rPr>
        <sz val="10"/>
        <rFont val="Times New Roman"/>
        <family val="1"/>
      </rPr>
      <t xml:space="preserve">  </t>
    </r>
    <r>
      <rPr>
        <sz val="10"/>
        <color rgb="FF000000"/>
        <rFont val="Times New Roman"/>
        <family val="1"/>
      </rPr>
      <t>The construction cost for Constructed Wetlands - Horizontal Subsurface Flow are based on the Cost Curve in Appendix E of the Barnstable County Cost Report (BCCR) Update (2014) which has an equation of  y = -6E-06x</t>
    </r>
    <r>
      <rPr>
        <vertAlign val="superscript"/>
        <sz val="10"/>
        <color rgb="FF000000"/>
        <rFont val="Times New Roman"/>
        <family val="1"/>
      </rPr>
      <t>2</t>
    </r>
    <r>
      <rPr>
        <sz val="10"/>
        <color rgb="FF000000"/>
        <rFont val="Times New Roman"/>
        <family val="1"/>
      </rPr>
      <t xml:space="preserve"> + 26.364x + 16667.  The construction cost includes land costs.</t>
    </r>
  </si>
  <si>
    <r>
      <t>22.  The operation and maintenance cost for PRB Trench Method are based on the Cost Curve in Appendix F of the Barnstable County Cost Report (BCCR) Update (2014) which has an equation of  y = 181.56x</t>
    </r>
    <r>
      <rPr>
        <vertAlign val="superscript"/>
        <sz val="10"/>
        <color rgb="FF000000"/>
        <rFont val="Times New Roman"/>
        <family val="1"/>
      </rPr>
      <t>-1</t>
    </r>
    <r>
      <rPr>
        <sz val="10"/>
        <color rgb="FF000000"/>
        <rFont val="Times New Roman"/>
        <family val="1"/>
      </rPr>
      <t>.    The operation and maintenance cost for PRBs - Injection Well Method are based on the Cost Curve in Appendix F of the Barnstable County Cost Report (BCCR) Update (2014) which has an equation of  y = 257.22x</t>
    </r>
    <r>
      <rPr>
        <vertAlign val="superscript"/>
        <sz val="10"/>
        <color rgb="FF000000"/>
        <rFont val="Times New Roman"/>
        <family val="1"/>
      </rPr>
      <t>-1</t>
    </r>
    <r>
      <rPr>
        <sz val="10"/>
        <color rgb="FF000000"/>
        <rFont val="Times New Roman"/>
        <family val="1"/>
      </rPr>
      <t>.</t>
    </r>
  </si>
  <si>
    <t>Phosphorous (Pounds)</t>
  </si>
  <si>
    <t>Cost / Unit Metric (See Note 14 through Note 23, inclusive)</t>
  </si>
  <si>
    <t>● Board of Health
● Department of Public Works
● Building Department
● MassDOT
● Conservation Commission</t>
  </si>
  <si>
    <t xml:space="preserve">Pilot study likely requiring establishment of baseline water quality and monitoring once pilot project is online.  The pilot study results will likely be used to determine the effectiveness and efficiency of the technology before allowing full implementation.
Need to work closely with the ongoing Cape demonstration projects to evaluate those data.  Need to consider reef building projects vs. bag or cage type projects.
Shellfish will only remove nitrogen if it is in particulate form through filtering.
Some areas have had to use horse mussels instead of blue mussels and oysters.  
In general, the installation of oyster aquaculture is not allowed in areas where there is a prohibition on harvesting.  However, there is a procedure that if a town is willing to enforce the no harvesting rule that aquaculture can be used in restricted areas.  This is not in a regulation, but is sited in a paper.
In some areas, there are  prohibition of oyster harvesting due to water quality concerns.  There is concern that these oysters may get into the food supply and cause illness.
Will need to coordinate with Division of Marine Fisheries (DMF).
Towns may want to consider looking at mariculture instead of oyster aquiculture.  Mariculture uses seaweeds to reduce nitrogen loads.
There is some concern over habitat displacement.  Care will need to be taken when placing aquiculture projects.
Aquaculture is a biological system.  Oysters can be susceptible to disease, mass die-offs, etc.  This needs to be factored in when  designing a nitrogen removal plan, specifically, aquaculture should not be the only strategy incase of a mass die-off.
Towns need to consider other issues that relate to maintenance of living organisms
Aquaculture is a seasonal solution, with little nitrogen reduction occurring in the winter months.
</t>
  </si>
  <si>
    <t xml:space="preserve">Pilot study likely requiring establishment of baseline water quality and monitoring once pilot project is online.  The pilot study results will likely be used to determine the effectiveness and efficiency of the technology before allowing full implementation.
Need to work closely with the ongoing Cape demonstration projects to evaluate those data.  Need to consider reef building projects vs. bag or cage type projects.
Shellfish will only remove nitrogen if it is in particulate form through filtering.
Some areas have had to use horse mussels instead of blue mussels and oysters.  
In general, the installation of oyster aquaculture is not allowed in areas where there is a prohibition on harvesting.  However, there is a procedure that if a town is willing to enforce the no harvesting rule that aquaculture can be used in restricted areas.  This is not in a regulation, but is sited in a paper.
In some areas, there are  prohibition of oyster harvesting due to water quality concerns.  There is concern that these oysters may get into the food supply and cause illness.
Will need to coordinate with Division of Marine Fisheries (DMF).
Towns may want to consider looking at mariculture instead of oyster aquiculture.  Mariculture uses seaweeds to reduce nitrogen loads.
There is some concern over habitat displacement.  Care will need to be taken when placing aquiculture projects.
Aquaculture is a biological system.  Oysters can be susceptible to disease, mass die-offs, etc.  This needs to be factored in when  designing a nitrogen removal plan, specifically, aquaculture should not be the only strategy incase of a mass die-off.
Towns need to consider other issues that relate to maintenance of living organisms
Aquaculture is a seasonal solution, with little nitrogen reduction occurring in the winter months.
</t>
  </si>
  <si>
    <t>● MassDEP
● Board of Health
● Department of Public Works
● MassDOT
● Department of Marine and Fisheries
● US Army Corps
● Conservation Commission
● Natural Heritage
● The Nature Conservancy
● Mass Historical Commission
● Building Department</t>
  </si>
  <si>
    <t>● MassDEP
● Board of Health
● Department of Public Works
● Department of Marine and Fisheries
● Conservation Commission
● Natural Heritage
● The Nature Conservancy
● Mass Historical Commission</t>
  </si>
  <si>
    <t>● MassDEP
● Board of Health
● Department of Public Works
● MassDOT
● Department of Marine and Fisheries
● Conservation Commission
● Natural Heritage
● The Nature Conservancy
● Mass Historical Commission</t>
  </si>
  <si>
    <t>● MassDEP
● Board of Health
● Department of Public Works
● Department of Marine and Fisheries
● US Army Corps
● US EPA
● Conservation Commission
● Natural Heritage
● The Nature Conservancy
● Mass Historical Commission</t>
  </si>
  <si>
    <t>● MassDEP
● Board of Health
● Department of Public Works
● MassDOT
● Department of Marine and Fisheries
● US Army Corps
● US EPA
● Conservation Commission
● Natural Heritage
● The Nature Conservancy
● Mass Historical Commission
● Building Department</t>
  </si>
  <si>
    <t>Notes</t>
  </si>
  <si>
    <t>14.  Quantities/unit costs have been based on the following: (a) Pricing as of March 2014.  No escalation was included; (b) Construction costs include contractor's overhead, profit, general condition costs, etc. estimated at 20 percent; (c) Project Cost equals the Construction Cost plus 40 percent for Engineering (Design and Construction Engineering), Municipal Administrative, Legal Costs and Contingency; (d) Pricing does not include considerations for site specific conditions or items such as hazardous materials; (e) Accuracy is assumed to be plus or minus 15 percent; and (f) In providing these estimated costs, it is understood that the developers of the Technology Matrix have no control over costs of labor, materials, equipment or services furnished by others or over market conditions or contractors' methods of determining prices, and that any evaluation of alternatives to be constructed or work to be performed is speculative.  Accordingly, there is no guarantee that proposals, bids or actual costs will not vary from cost information provided herein.</t>
  </si>
  <si>
    <t>(1) Bournes Pond.
(2) Actual costs will be site specific.
(3) In general increasing the capacity of bridges and culverts is a good way to increase upstream and downstream water quality and enhance upstream habitats.  However, care must be taken in the design so as not to adversely effect upstream and downstream habitats and or negatively impact upstream or downstream properties and structures.  The design requires detailed modeling (preferably 2-dimensional hydrodynamic modeling) to quantify the potential upstream and downstream impacts.
(4) Calculation Basis - Costs based on Pond Dredging which has a stable nutirient load and therfore P (or N) reduction can be calculated; (b) Dredging in estuary is difficult as N load varies as well as flushing of the estuary; (c) costs change based on depth of excavation and may invole removing and replacing infrastructure; and (d) requires modeling to identify nutirent reduction and costs.</t>
  </si>
  <si>
    <t>Average Life Cycle Cost
(PV)</t>
  </si>
  <si>
    <t>Replacement / Upgrade (see Note 30)</t>
  </si>
  <si>
    <r>
      <rPr>
        <b/>
        <sz val="10"/>
        <rFont val="Times New Roman"/>
        <family val="1"/>
      </rPr>
      <t>Background</t>
    </r>
    <r>
      <rPr>
        <sz val="10"/>
        <rFont val="Times New Roman"/>
        <family val="1"/>
      </rPr>
      <t xml:space="preserve">
In 2014, as part of the 208 Water Quality Management Plan Update for Cape Cod Massachusetts, a Technology Matrix was developed by the Cape Cod Commission, AECOM Technical Services, Inc., Scott Horsley, and Offshoots, Inc.  Although it is not intended to be all inclusive, the Technology Matrix presents information on various wastewater technologies that are currently available including collection, treatment, disposal and solids processing.  The Technology Matrix should be considered a flexible and dynamic source of information that is updated by the Cape Cod Commission as additional information becomes available.
The information contained in the Technology Matrix has been developed using input from the Cape Cod Commission’s Technical Review Panel (aka Blue Ribbon Panel), various Federal, Massachusetts, and Local Regulatory Agencies, Special Interest Groups and the Public at Large.
The Technology Matrix has been developed to bring together in one place a summary of information that can serve as a starting point to help Cape Cod communities evaluate various alternatives through adaptive management to address their wastewater issues.  The Technology Matrix should be used as an educational tool to understand the benefits, design requirements, and regulatory considerations of the various technologies along with their order of magnitude costs which must be adjusted based on local/site specific conditions.</t>
    </r>
  </si>
  <si>
    <r>
      <rPr>
        <b/>
        <sz val="10"/>
        <rFont val="Times New Roman"/>
        <family val="1"/>
      </rPr>
      <t>User Information</t>
    </r>
    <r>
      <rPr>
        <sz val="10"/>
        <rFont val="Times New Roman"/>
        <family val="1"/>
      </rPr>
      <t xml:space="preserve">
The user of the Technology Matrix must understand watershed site specific conditions when selecting technologies to be evaluated.  As an example, the unit costs for decentralized options that involve on-site or local disposal must be combined with an estimate of the additional nitrogen removal required by in-watershed disposal. Simlarly, disposal in non-nitrogen sensitive watershed will generally reduce costs.
The user of the Technology Matrix must understand that redundancy and reliability of non-traditional options will be based upon technology specific considerations and therefore must be reviewed with the regulatory agencies to fully understand the technology requirements and associated project and operation and maintenance costs.
The user of the Technology Matrix must understand that although cost and performance are important, the factors of “permittability” and “implementability” are important and are very site specific.
Although the Technology Matrix has a contingency incorporated into the Project Costs, the user of the Technology Matrix should consider adjusting the contingency when developing options, incorporating site specific information, and identfing the risks for the options.
The Technology Matrix presents information on specific technologies and approaches which may or may not be useable as a single solution and therefore may or may not be able to be compared directly to one another.  For example, the user must assemble various cost elements (collection, treatment and disposal, for example) to be able to make a fair comparison between approaches that require collection and off-site disposal versus those that involve on-site treatment and disposal.  The Technology Matrix presents a summary of infrastructure to consider when designing and pricing various Technologies/Strategies.
The Technology Matrix does not express cost savings realized through economies of scale for traditional technologies such as centralize treatment. Nor does it expressly identify opportunities for solutions that address the needs of several watersheds simultaneously. </t>
    </r>
  </si>
  <si>
    <t>15.  Land cost is based on the Barnstable County Cost Report (BCCR) estimate of $250,000 per acre.</t>
  </si>
  <si>
    <t>23.  Adjustment factors are included to some technologies to anticipate pilot testing that can be used for refinement to performance and cost data presented.  Each adjustment factor increases or decreases Project and Operation and Maintenance costs by 10 percent in order to account for the relative complexity of the technology, local oversight, and regulatory compliance such as pilot testing, short and long term monitoring, etc.</t>
  </si>
  <si>
    <t>27.  Eco Services are considered ecological and social co-benefits of a technology.  A cost offset of a benefit is not included in the technology cost analysis, but the environmental and social eco-services that a technology provides should be considered when selecting a technology.  Elements of Eco Services include, but are not limited to, Total N and P, Carbon Sequestration, Sediment Accretion, Water Filtration, Bioturbation, Bioremediation, and Biodiversity.</t>
  </si>
  <si>
    <t>26.  System resilience consists of the impact of the technology during sea level rise and flooding conditions (i.e.. nitrogen release, pathogen release timely ability to replace/begin operation).</t>
  </si>
  <si>
    <t>12.   The Nitrogen Load Reduction Calculator assumes a baseline input of 26.25 mg/L.  The input is based on the Massachusetts Estuaries Program (MEP) assumption that existing nitrogen load from existing septic system wastewater systems to the groundwater is 26.25 mg/L.  This 26.25 mg/L assumes nitrogen reduction from the existing septic systems as well as treatment in the subsurface soils between the septic system discharge and the water table.  In other words, the existing nitrogen load to the watershed is 26.25 mg/L from the existing septic systems.  The net reduction from a specific technology would be the decreased nitrogen load achieved by installing and operating the selected technology.  The Nitrogen Load Reduction Calculator is used to estimate the cost per pound of nitrogen reduced from the watershed in order to compare the cost-effectiveness of the technologies but not to calculate a project cost for the technology.</t>
  </si>
  <si>
    <t>11.   The nitrogen reduction percent is used to estimate the cost per pound or kilogram of nitrogen reduction.  In other words, the cost per pound or kilogram of nitrogen removed is the influent load specified minus the effluent nitrogen load.  The net reduction from a specific technology would be the specified influent nitrogen load minus the effluent nitrogen load resulting from installing and operating a selected technology.   The Technology Matrix is not to be used to estimate the net nitrogen load reduction from the watershed.  The Nitrogen Load Reduction Calculator has been designed for that task.</t>
  </si>
  <si>
    <t>8.  Nutrient (Nitrogen and Phosphorous) percent removal is the estimated low to high range considering actual operating facilities/technologies, pilot testing performed on the technology and research performed on the technology.   In general, the closer the range of percent removals equals a higher predictability of the technology to reduce nutrients.</t>
  </si>
  <si>
    <t>7.   The Technology Matrix assumes various nitrogen input concentrations based on influent source flow.  The nitrogen input concentration will vary based on water collected at its source and wastewater effluent which has been release into the environment.  The effluent nitrogen from the technology is dependent on the technology applied.  The total nitrogen reduction for the technology is specified input concentration minus the effluent nitrogen concentration.</t>
  </si>
  <si>
    <t>2. Pollutant Treated or Use - Presents the Pollutant Treated by the Technology (nitrogen or phosphorus, etc.) or the Reason to use the Technology (avoiding discharging WWTF effluent to groundwater).</t>
  </si>
  <si>
    <t>Technology ID</t>
  </si>
  <si>
    <t>Title 5 Septic System Replacement (Base Line Condition)</t>
  </si>
  <si>
    <t>Nitrogen Reduction (Percent Removal)</t>
  </si>
  <si>
    <t>N Reduction From Matrix</t>
  </si>
  <si>
    <t>Instead of discharging the WWTF effluent to groundwater, the effluent is conveyed to an ocean outfall.  Ocean outfall discharges are ideally located offshore in deep water where currents disperse and dilute the discharge.  Ocean outfalls have the advantage of removing the nitrogen load from the watershed.
A recent amendment filed as Massachusetts Senate Bill #2021, and approved in the 2014 legislative session, modifies the Oceans Act. The legislative changes stipulate conditions under which ocean outfalls of treated municipal wastewater into the marine sanctuaries around Cape Cod might be permitted. The amendment requires, among other standards: the discharge must meet the water quality standards of the receiving water body, including any TMDLs in place; implementation of plans to minimize inflow and infiltration; programs to conserve water; consistency with the policies and plans of Coastal Zone Management (which includes the policies and standards of the Massachusetts Ocean Management Plan); that the discharge shall not affect the quality or quantity of existing or proposed water supplies by reducing ground water recharge; and that the proposed discharge will not adversely impact marine fisheries. The amendment also requires study of the environmental impacts of a discharge through the state MEPA process, including ecological, hydrologic, hydraulic, and water quality evaluations.</t>
  </si>
  <si>
    <t>● High level of treatment required.
● Capital and O&amp;M cost intensive.
● Extensive permitting issues (Oceans Sanctuary Act, wetlands, etc.).
● Siting and abutter issues.
● Modeling of ocean outfall and potential impacts required.
● Permitting costs could be extensive. Under a recent amendment to the Massachusetts Ocean Sanctuaries Act, proposed ocean outfalls into the ocean sanctuaries around Cape Cod will require extensive analysis and environmental review to establish the need, identify potential impacts, and define appropriate mitigating actions.</t>
  </si>
  <si>
    <t>Discount Rate</t>
  </si>
  <si>
    <t xml:space="preserve">
Cells That May Require Input
for Developing
Site Specific Scenarios
(Cells Highlighted Light Blue)</t>
  </si>
  <si>
    <t>Permeable Reactive Barriers (PRBs) - Trench Method
(Aquifer Thickness - 
30 feet)</t>
  </si>
  <si>
    <t>Permeable Reactive Barriers (PRBs) - Injection Well Method
(Aquifer Thickness - 
45 feet)</t>
  </si>
  <si>
    <t>Permeable Reactive Barriers (PRBs) - Injection Well Method
(Aquifer Thickness - 
60 feet)</t>
  </si>
  <si>
    <t>Unit Metric
(see Note 13)</t>
  </si>
  <si>
    <t xml:space="preserve"> kg/linear foot</t>
  </si>
  <si>
    <t>cubic yard</t>
  </si>
  <si>
    <t>cubic feet</t>
  </si>
  <si>
    <t>liters</t>
  </si>
  <si>
    <t>24.  The Barnstable County Cost Report (BCCR) developed an amortized cost for individual on-lot systems, cluster systems, satellite systems and centralized systems based on a 20 year planning period and 5 percent interest rate.  The value represents the present value of the capital costs spread of over the 20 year planning period divided by 1 year of N removed  plus the estimated operation and maintenance cost dived by 1 year of N removed.  No costs are included for futrue replacement/upgrades.</t>
  </si>
  <si>
    <t>31.  The Technology Matrix uses a Life-cycle cost analysis (LCCA) to compare various alternatives to determine the most cost-effective alternative regarding Project Costs and Annual O&amp;M Costs.   It assumes that each of the alternatives (or combination of alternatives) are appropriate to be implemented on technical grounds.  The costs are compared on a Present Value basis whereby future costs such as annual O&amp;M Costs and Replacement/Upgrade Costs are discounted and totaled to a present day value known as net present value (NPV).</t>
  </si>
  <si>
    <t>O&amp;M Cost
(PV)</t>
  </si>
  <si>
    <t>Stormwater Management</t>
  </si>
  <si>
    <t>Area</t>
  </si>
  <si>
    <t>● Little impact to homeowners.
● Centralized equipment maintenance.                                                             ● Lowest O&amp;M compared to other collection systems.
● Eliminates the need for institutional controls associated with systems that involve on-site pumps (LPS, STEP and STEG).</t>
  </si>
  <si>
    <t xml:space="preserve">● Potential reduced capital costs over conventional collection systems.
● Centralized equipment maintenance.
● Shallow pipes - can be buried above frost line due to high velocities that will not freeze.
● Pumps/vacuum equipment not required on private property.            ● More easily expanded in response to growth.
</t>
  </si>
  <si>
    <t>Aquaculture (N removed/acre)</t>
  </si>
  <si>
    <t>N and P Removed Per Unit</t>
  </si>
  <si>
    <t>P 2 -     Flow per Home (gpd)
AN 2 - Project Cost Factor (%)
BU 2 - Discount Rate (% APR)
BX 2 - Planning Period (Nper in years)
N 7  -  Acres
Q 97 - Influent Nitrogen Load
R 97 - Influent Phosphorus Load</t>
  </si>
  <si>
    <t>P 2 -     Flow per Home (gpd)
AN 2 - Project Cost Factor (%)
BU 2 - Discount Rate (% APR)
BX 2 - Planning Period (Nper in years)
N 8 -    Acres
Q 97 - Influent Nitrogen Load
R 97 - Influent Phosphorus Load</t>
  </si>
  <si>
    <t>P 2 -     Flow per Home (gpd)
AN 2 - Project Cost Factor (%)
BU 2 - Discount Rate (% APR)
BX 2 - Planning Period (Nper in years)
M 10 -  Flow (gpd)
T 113 - Influent Nitrogen Load
U 113 - Influent Phosphorus Load</t>
  </si>
  <si>
    <t>P 2 -     Flow per Home (gpd)
AN 2 - Project Cost Factor (%)
BU 2 - Discount Rate (% APR)
BX 2 - Planning Period (Nper in years)
N 11 -   Acres
Q 100 - Influent Nitrogen Load
R 100- Influent Phosphorus Load</t>
  </si>
  <si>
    <t>P 2 -     Flow per Home (gpd)
AN 2 - Project Cost Factor (%)
BU 2 - Discount Rate (% APR)
BX 2 - Planning Period (Nper in years)
N 12 -   Acres
T 100 - Influent Nitrogen Load
U 100- Influent Phosphorus Load</t>
  </si>
  <si>
    <t>P 2 -     Flow per Home (gpd)
AN 2 - Project Cost Factor (%)
BU 2 - Discount Rate (% APR)
BX 2 - Planning Period (Nper in years)
N 13 -   Acres
T 100 - Influent Nitrogen Load
U 100- Influent Phosphorus Load</t>
  </si>
  <si>
    <t>P 2 -     Flow per Home (gpd)
AN 2 - Project Cost Factor (%)
BU 2 - Discount Rate (% APR)
BX 2 - Planning Period (Nper in years)
N 14 -   Acres
T 100 - Influent Nitrogen Load
U 100- Influent Phosphorus Load</t>
  </si>
  <si>
    <t>P 2 -     Flow per Home (gpd)
AN 2 - Project Cost Factor (%)
BU 2 - Discount Rate (% APR)
BX 2 - Planning Period (Nper in years)
N 15 -   Acres
T 100 - Influent Nitrogen Load
U 100- Influent Phosphorus Load</t>
  </si>
  <si>
    <t>P 2 -     Flow per Home (gpd)
AN 2 - Project Cost Factor (%)
BU 2 - Discount Rate (% APR)
BX 2 - Planning Period (Nper in years)
N 16 -   Acres
T 100 - Influent Nitrogen Load
U 100- Influent Phosphorus Load</t>
  </si>
  <si>
    <t xml:space="preserve">P 2 -     Flow per Home (gpd)
AN 2 - Project Cost Factor (%)
BU 2 - Discount Rate (% APR)
BX 2 - Planning Period (Nper in years)
N 17 - Acres
W 105 - Nitrogen removed per acre (Low)
X 105 - Nitrogen removed per acre (High)
</t>
  </si>
  <si>
    <t>P 2 -     Flow per Home (gpd)
AN 2 - Project Cost Factor (%)
BU 2 - Discount Rate (% APR)
BX 2 - Planning Period (Nper in years))
N 18 - Acres
W 105 - Nitrogen removed per acre (Low)
X 105 - Nitrogen removed per acre (High)</t>
  </si>
  <si>
    <t>P 2 -     Flow per Home (gpd)
AN 2 - Project Cost Factor (%)
BU 2 - Discount Rate (% APR)
BX 2 - Planning Period (Nper in years)
N 19 - Acres
W 105 - Nitrogen removed per acre (Low)
X 105 - Nitrogen removed per acre (High)</t>
  </si>
  <si>
    <t xml:space="preserve">P 2 -     Flow per Home (gpd)
AN 2 - Project Cost Factor (%)
BU 2 - Discount Rate (% APR)
BX 2 - Planning Period (Nper in years)
O 21  -   PRB length (linear feet)
T 103 - Influent Nitrogen Load
U 103 - Influent Phosphorus Load
</t>
  </si>
  <si>
    <t xml:space="preserve">P 2 -     Flow per Home (gpd)
AN 2 - Project Cost Factor (%)
BU 2 - Discount Rate (% APR)
BX 2 - Planning Period (Nper in years)
O 22  -   PRB length (linear feet)
T 103 - Influent Nitrogen Load
U 103 - Influent Phosphorus Load
</t>
  </si>
  <si>
    <t xml:space="preserve">P 2 -     Flow per Home (gpd)
AN 2 - Project Cost Factor (%)
BU 2 - Discount Rate (% APR)
BX 2 - Planning Period (Nper in years)
O 23  -   PRB length (linear feet)
T 103 - Influent Nitrogen Load
U 103 - Influent Phosphorus Load
</t>
  </si>
  <si>
    <t xml:space="preserve">P 2 -     Flow per Home (gpd)
AN 2 - Project Cost Factor (%)
BU 2 - Discount Rate (% APR)
BX 2 - Planning Period (Nper in years)
O 24  -   PRB length (linear feet)
T 103 - Influent Nitrogen Load
U 103 - Influent Phosphorus Load
</t>
  </si>
  <si>
    <t xml:space="preserve">P 2 -     Flow per Home (gpd)
AN 2 - Project Cost Factor (%)
BU 2 - Discount Rate (% APR)
BX 2 - Planning Period (Nper in years)
N 25 - Acres
T 97 - Influent Nitrogen Load
U 97 - Influent Phosphorus LoaD
</t>
  </si>
  <si>
    <t>P 2 -     Flow per Home (gpd)
AN 2 - Project Cost Factor (%)
BU 2 - Discount Rate (% APR)
BX 2 - Planning Period (Nper in years)
M 27 -  Flow (gpd)
W 100 - Influent Nitrogen Load
X100 - Influent Phosphorus Load</t>
  </si>
  <si>
    <t>P 2 -     Flow per Home (gpd)
AN 2 - Project Cost Factor (%)
BU 2 - Discount Rate (% APR)
BX 2 - Planning Period (Nper in years)
M 28 -  Flow (gpd)
W 100 - Influent Nitrogen Load
X 100 - Influent Phosphorus Load</t>
  </si>
  <si>
    <t>P 2 -     Flow per Home (gpd)
AN 2 - Project Cost Factor (%)
BU 2 - Discount Rate (% APR)
BX 2 - Planning Period (Nper in years)
M 29 -  Flow (gpd)
W 100 - Influent Nitrogen Load
X 100 - Influent Phosphorus Load</t>
  </si>
  <si>
    <t>P 2 -     Flow per Home (gpd)
AN 2 - Project Cost Factor (%)
BU 2 - Discount Rate (% APR)
BX 2 - Planning Period (Nper in years)
M 30 -  Flow (gpd)
W 100 - Influent Nitrogen Load
X 100 - Influent Phosphorus Load</t>
  </si>
  <si>
    <t>P 2 -     Flow per Home (gpd)
AN 2 - Project Cost Factor (%)
BU 2 - Discount Rate (% APR)
BX 2 - Planning Period (Nper in years)
M 32 -  Flow (gpd)
T 107 - Influent Nitrogen Load
U 107 - Influent Phosphorus Load</t>
  </si>
  <si>
    <t>P 2 -     Flow per Home (gpd)
AN 2 - Project Cost Factor (%)
BU 2 - Discount Rate (% APR)
BX 2 - Planning Period (Nper in years)
M 33 -  Flow (gpd)
Q 110 - Influent Nitrogen Load
R 110 - Influent Phosphorus Load</t>
  </si>
  <si>
    <t>P 2 -     Flow per Home (gpd)
AN 2 - Project Cost Factor (%)
BU 2 - Discount Rate (% APR)
BX 2 - Planning Period (Nper in years)
M 34 -  Flow (gpd)
Q 110 - Influent Nitrogen Load
R 110 - Influent Phosphorus Load</t>
  </si>
  <si>
    <t>P 2 -     Flow per Home (gpd)
AN 2 - Project Cost Factor (%)
BU 2 - Discount Rate (% APR)
BX 2 - Planning Period (Nper in years)
M 35 -  Flow (gpd)
Q 110 - Influent Nitrogen Load
R 110 - Influent Phosphorus Load</t>
  </si>
  <si>
    <t>No nutrient removal, but technology used in conjunction with other NT Technologies (i.e. aquaculture and floating constructed wetlands) to enhance nutrient removal.  
To be used to estimate costs only.
P 2 -     Flow per Home (gpd)
AN 2 - Project Cost Factor (%)
BU 2 - Discount Rate (% APR)
BX 2 - Planning Period (Nper in years)</t>
  </si>
  <si>
    <t>P 2 -     Flow per Home (gpd)
AN 2 - Project Cost Factor (%)
BU 2 - Discount Rate (% APR)
BX 2 - Planning Period (Nper in years)
M 40 -  Flow (gpd)
Q 40 - Influent Nitrogen Load
R 40- Influent Phosphorus Load</t>
  </si>
  <si>
    <t>P 2 -     Flow per Home (gpd)
AN 2 - Project Cost Factor (%)
BU 2 - Discount Rate (% APR)
BX 2 - Planning Period (Nper in years)
M 43 -  Flow (gpd)
W 100 - Influent Nitrogen Load
X 100- Influent Phosphorus Load</t>
  </si>
  <si>
    <t>P 2 -     Flow per Home (gpd)
AN 2 - Project Cost Factor (%)
BU 2 - Discount Rate (% APR)
BX 2 - Planning Period (Nper in years)
M 46 -  Flow (gpd)
T 113 - Influent Nitrogen Load
U 113 - Influent Phosphorus Load</t>
  </si>
  <si>
    <t>P 2 -     Flow per Home (gpd)
AN 2 - Project Cost Factor (%)
BU 2 - Discount Rate (% APR)
BX 2 - Planning Period (Nper in years)
M 47 -  Flow (gpd)
T 113 - Influent Nitrogen Load
U 113 - Influent Phosphorus Load</t>
  </si>
  <si>
    <t>P 2 -     Flow per Home (gpd)
AN 2 - Project Cost Factor (%)
BU 2 - Discount Rate (% APR)
BX 2 - Planning Period (Nper in years)
M 49 -  Flow (gpd)
T 113 - Influent Nitrogen Load
U 113 - Influent Phosphorus Load</t>
  </si>
  <si>
    <t>P 2 -     Flow per Home (gpd)
AN 2 - Project Cost Factor (%)
BU 2 - Discount Rate (% APR)
BX 2 - Planning Period (Nper in years)
M 50 -  Flow (gpd)
T 113 - Influent Nitrogen Load
U 113 - Influent Phosphorus Load</t>
  </si>
  <si>
    <t>P 2 -     Flow per Home (gpd)
AN 2 - Project Cost Factor (%)
BU 2 - Discount Rate (% APR)
BX 2 - Planning Period (Nper in years)
M 51 -  Flow (gpd)
T 113 - Influent Nitrogen Load
U 113 - Influent Phosphorus Load</t>
  </si>
  <si>
    <t>P 2 -     Flow per Home (gpd)
AN 2 - Project Cost Factor (%)
BU 2 - Discount Rate (% APR)
BX 2 - Planning Period (Nper in years)
N 20 -  Flow (gpd)
Q 100 - Influent Nitrogen Load
R 100 - Influent Phosphorus Load</t>
  </si>
  <si>
    <t xml:space="preserve">P 2 -     Flow per Home (gpd)
AN 2 - Project Cost Factor (%)
BU 2 - Discount Rate (% APR)
BX 2 - Planning Period (Nper in years)
N 26 - Acres
T 97 - Influent Nitrogen Load
U 97 - Influent Phosphorus Load
</t>
  </si>
  <si>
    <t xml:space="preserve">P 2 -     Flow per Home (gpd)
AN 2 - Project Cost Factor (%)
BU 2 - Discount Rate (% APR)
BX 2 - Planning Period (Nper in years)
N 31 - Acres
Q 107 - Influent Nitrogen Load
R 107 - Influent Phosphorus Load
</t>
  </si>
  <si>
    <t>P 2 -     Flow per Home (gpd)
AN 2 - Project Cost Factor (%)
BU 2 - Discount Rate (% APR)
BX 2 - Planning Period (Nper in years)
M 44 -  Flow (gpd)
W 100 - Influent Nitrogen Load
X 100- Influent Phosphorus Load</t>
  </si>
  <si>
    <t>P 2 -     Flow per Home (gpd)
AN 2 - Project Cost Factor (%)
BU 2 - Discount Rate (% APR)
BX 2 - Planning Period (Nper in years)
M 45 -  Flow (gpd)
W 100 - Influent Nitrogen Load
X 100- Influent Phosphorus Load</t>
  </si>
  <si>
    <t>Coastal Habitat (N removed/acre)</t>
  </si>
  <si>
    <t>P 2 -     Flow per Home (gpd)
AN 2 - Project Cost Factor (%)
BU 2 - Discount Rate (% APR)
BX 2 - Planning Period (Nper in years)
N 37 - Acres
W 108 - Nitrogen removed per acre (Low)
X 108 - Nitrogen removed per acre (High)</t>
  </si>
  <si>
    <t>P 2 -     Flow per Home (gpd)
AN 2 - Project Cost Factor (%)
BU 2 - Discount Rate (% APR)
BX 2 - Planning Period (Nper in years)
O 38 -  Flow (gpd)
0 38 - Influent Nitrogen Load
R 38 - Influent Phosphorus Load</t>
  </si>
  <si>
    <t>P 2 -     Flow per Home (gpd)
AN 2 - Project Cost Factor (%)
BU 2 - Discount Rate (% APR)
BX 2 - Planning Period (Nper in years)
L 48 -  Flow (gpd)
T 113 - Influent Nitrogen Load
U 113 - Influent Phosphorus Load</t>
  </si>
  <si>
    <t>Watershed Reduction Efficiency - PV Average Cost for Nutrient Reducing Technology (see Note 31 and Note 32)</t>
  </si>
  <si>
    <t>Reduction for Watershed per Planning Period</t>
  </si>
  <si>
    <t>Watershed Baseline Condition (MEP)</t>
  </si>
  <si>
    <t xml:space="preserve">4.  Flows presented in Column M are Annual Average Daily Flows. </t>
  </si>
  <si>
    <t>P 2 -     Flow per Home (gpd)
AN 2 - Project Cost Factor (%)
BU 2 - Discount Rate (% APR)
BX 2 - Planning Period (Nper in years)
N 9 -    Acres
T 97 - Influent Nitrogen Load
U 97 - Influent Phosphorus Load</t>
  </si>
  <si>
    <t xml:space="preserve">Fertigation Wells and Constructed Wetlands for Treatment of Groundwater </t>
  </si>
  <si>
    <t xml:space="preserve">Site Specific - Generally requires hydrodynamic modeling of inlet to determine change in nutrient load.  Costs generally vary greatly by project.
M 35 -  Flow (gpd)
Q 35 - Influent Nitrogen Load
R 35 - Influent Phosphorus Load
S 35 - Nitrogen Reduction (Low)
T35 - Nitrogin Reduction (High)
U35 - Phosphorus Reduction (Low)
V35 - Phosphorus Reduction (High)
</t>
  </si>
  <si>
    <t>Site Specific.  Generally requires detailed pond study to determine nutrient removal loads..  Costs vary greatly by project.
P 2 -     Flow per Home (gpd)
AN 2 - Project Cost Factor (%)
BU 2 - Discount Rate (% APR)
BX 2 - Planning Period (Nper in years)
M 41 -  Flow (gpd)
R 41- Influent Phosphorus Load
U 41 - Phosphorus Reduction (Low)
V 41 - Phosphorus Reduction (High)
AH 41 - Est. Construction Costs (Low)
AI 41 - Est. Construction Costs (High)
AS 41 - Est. Annual O&amp;M Costs (Low)
AT 41 - Est. Annual O7M Costs (High)</t>
  </si>
  <si>
    <t xml:space="preserve">Site Specific.  Generally requires detailed pond study to determine nutrient removal loads..  Costs vary greatly by project.
P 2 -     Flow per Home (gpd)
AN 2 - Project Cost Factor (%)
BU 2 - Discount Rate (% APR)
BX 2 - Planning Period (Nper in years)
M 42 -  Flow (gpd)
Q 42 -  Nitrogen Load (low)
R 42 -  Phoshorus Load (high)
</t>
  </si>
  <si>
    <t>Constructed Wetlands for Treatment of WWTF Effluet</t>
  </si>
  <si>
    <t>Input table used to develop construction costs and O&amp;M costs for PRBs based on estimated PRB length and Nitrate Load within Capture Area.</t>
  </si>
  <si>
    <t>3. Column J presents the general requirements that need to be considered when siting the Technology are presented.  The user of the Technology Matrix must understand that the siting requirements will be site specific with additional engineering necessary to determine if a technology is applicable to a specific location.</t>
  </si>
  <si>
    <t>5. Cell P2 is the annual average household flow on the Cape of 160 gal/household/day which is based on water use records.</t>
  </si>
  <si>
    <t>6. The Equivalent Number of Homes is the annual average wastewater flow in Column M divided by the annual average household flow in Cell R2.</t>
  </si>
  <si>
    <t>16.  Project Cost equals the Construction Cost plus 40 percent  or as specified value in (Cell AN2) for  Engineering (Design and Construction Engineering) , Municipal Administrative, Legal Costs and Contingency.</t>
  </si>
  <si>
    <t>28.  Monitoring of a technology will generally occur for the life of the system.  Monitoring of most of the non-traditional technologies will be required to establish the nitrogen load being removed by a technology.  The length of this monitoring period is estimated.  Annual monitoring costs are included in the annual O&amp;M cost estimates for the duration the technology is used..</t>
  </si>
  <si>
    <t>29.  Column DO presents various references, notes, and assumptions utilized in the development of the information presented for each technology.</t>
  </si>
  <si>
    <r>
      <t xml:space="preserve">30.  Project Cost (PV):  Present value of equipment replaced periodically over the course of the planning period is found using the Present Value (PV) function in Excel:  PV(rate, nper, pmt, [fv], [type]) where </t>
    </r>
    <r>
      <rPr>
        <u/>
        <sz val="10"/>
        <rFont val="Times New Roman"/>
        <family val="1"/>
      </rPr>
      <t>rate</t>
    </r>
    <r>
      <rPr>
        <sz val="10"/>
        <rFont val="Times New Roman"/>
        <family val="1"/>
      </rPr>
      <t xml:space="preserve"> is the effective interest rate for the equipment replacement cycle, based on the useful life of the equipment and the stated annual interest rate in Cell BY2 {formula: Effective Interest Rate= [(1+Nominal Rate)^Useful Life]-1}; </t>
    </r>
    <r>
      <rPr>
        <u/>
        <sz val="10"/>
        <rFont val="Times New Roman"/>
        <family val="1"/>
      </rPr>
      <t>nper</t>
    </r>
    <r>
      <rPr>
        <sz val="10"/>
        <rFont val="Times New Roman"/>
        <family val="1"/>
      </rPr>
      <t xml:space="preserve"> is the number of replacements, found by dividing the equipment useful life (column BI) into the planning period, rounded up to the next-higher integer; </t>
    </r>
    <r>
      <rPr>
        <u/>
        <sz val="10"/>
        <rFont val="Times New Roman"/>
        <family val="1"/>
      </rPr>
      <t>pmt</t>
    </r>
    <r>
      <rPr>
        <sz val="10"/>
        <rFont val="Times New Roman"/>
        <family val="1"/>
      </rPr>
      <t xml:space="preserve"> is the estimated replacement cost for the equipment (column BJ) - not adjusted for inflation; and </t>
    </r>
    <r>
      <rPr>
        <u/>
        <sz val="10"/>
        <rFont val="Times New Roman"/>
        <family val="1"/>
      </rPr>
      <t>fv</t>
    </r>
    <r>
      <rPr>
        <sz val="10"/>
        <rFont val="Times New Roman"/>
        <family val="1"/>
      </rPr>
      <t xml:space="preserve"> and </t>
    </r>
    <r>
      <rPr>
        <u/>
        <sz val="10"/>
        <rFont val="Times New Roman"/>
        <family val="1"/>
      </rPr>
      <t>type</t>
    </r>
    <r>
      <rPr>
        <sz val="10"/>
        <rFont val="Times New Roman"/>
        <family val="1"/>
      </rPr>
      <t xml:space="preserve"> are  optional parameters not used for this calculation.  Note that rounding the nper parameter upward provides for scenarios where the planning period is not evenly divisible by the useful life of the equipment.  The estimate of present value in those cases includes sufficient investment to fund one replacement after the end of the planning period. </t>
    </r>
  </si>
  <si>
    <r>
      <t>17.  The construction cost for Cluster Treatment Systems - Single-stage, Conventional Treatment, and Satellite Treatment Facilities are based on the Cost Curve in Appendix A of the Barnstable County Cost Report (BCCR) Update (2014) which has an equation 
of  y = 3698.1x</t>
    </r>
    <r>
      <rPr>
        <vertAlign val="superscript"/>
        <sz val="10"/>
        <color rgb="FF000000"/>
        <rFont val="Times New Roman"/>
        <family val="1"/>
      </rPr>
      <t>-0.381</t>
    </r>
    <r>
      <rPr>
        <sz val="10"/>
        <color rgb="FF000000"/>
        <rFont val="Times New Roman"/>
        <family val="1"/>
      </rPr>
      <t>.</t>
    </r>
    <r>
      <rPr>
        <vertAlign val="superscript"/>
        <sz val="10"/>
        <color rgb="FF000000"/>
        <rFont val="Times New Roman"/>
        <family val="1"/>
      </rPr>
      <t xml:space="preserve"> </t>
    </r>
    <r>
      <rPr>
        <sz val="10"/>
        <color rgb="FF000000"/>
        <rFont val="Times New Roman"/>
        <family val="1"/>
      </rPr>
      <t xml:space="preserve">  The construction cost for Cluster Treatment System - Two-stage, Advanced Treatment, Satellite Treatment - Enhanced Facilities are based on the same Cost Curve plus a 20 percent factor for the higher level of treatment.  </t>
    </r>
  </si>
  <si>
    <r>
      <t>18.  The operation and maintenance cost for Cluster Treatment System - Single-stage, Conventional Treatment, and Satellite Treatment Facilities are based on the Cost Curve in Appendix B of the Barnstable County Cost Report (BCCR) Update (2014) which has an equation 
of  y = 626.43x</t>
    </r>
    <r>
      <rPr>
        <vertAlign val="superscript"/>
        <sz val="10"/>
        <color rgb="FF000000"/>
        <rFont val="Times New Roman"/>
        <family val="1"/>
      </rPr>
      <t>-0.421</t>
    </r>
    <r>
      <rPr>
        <sz val="10"/>
        <color rgb="FF000000"/>
        <rFont val="Times New Roman"/>
        <family val="1"/>
      </rPr>
      <t>.</t>
    </r>
    <r>
      <rPr>
        <vertAlign val="superscript"/>
        <sz val="10"/>
        <color rgb="FF000000"/>
        <rFont val="Times New Roman"/>
        <family val="1"/>
      </rPr>
      <t xml:space="preserve"> </t>
    </r>
    <r>
      <rPr>
        <sz val="10"/>
        <color rgb="FF000000"/>
        <rFont val="Times New Roman"/>
        <family val="1"/>
      </rPr>
      <t xml:space="preserve">  The project cost for Cluster Treatment System - Two-stage, Advanced Treatment, Satellite Treatment - Enhanced Facilities are based on the same Cost Curve plus a 20 percent factor for the higher level of treatment.</t>
    </r>
  </si>
  <si>
    <t>25. The user of the Technology Matrix presents information on specific technologies and approaches which may or may not be able to be used as a single solution and therefore may or may not be able to be  compared directly to one another.  For example, the user must assemble various cost elements (collection, treatment and disposal, for example) to be able to make a fair comparison between approaches that require collection and off-site disposal versus those that involve on-site treatment and disposal.  Column CY presents summary of infrastructure to Consider when Designing and Pricing various Technologies/ Strategies.</t>
  </si>
  <si>
    <t>31.  Technology Efficiency  estimates the Life Cycle Cost for each of the nutrient reducing technologies.  The Technology Efficiency Life Cycle Cost includes estimates for the design, permitting, construction and O&amp;M costs of each technology divided by the total nutrient removed by that technology over the life cycle of the technology.  The Technology Efficiency Life Cycle Costs of each technology can be compared to estimate the relative Life Cycle Costs .</t>
  </si>
  <si>
    <t xml:space="preserve">32. The Watershed Reduction Efficiency estimates the Life Cycle Cost where the installation of a traditional or non-traditional technology results in the removal / abandonment of an existing Title 5 septic system.  Technologies where septic systems are abandoned or removed are generally those that have a collection system that removes wastewater from an existing site with a septic system to a WWTF.   The Watershed Reduction Efficiency Life Cycle Cost includes estimates for the design, permitting, construction and O&amp;M costs of each technology divided by the total nutrient removed that technology over the life cycle of the technology minus the nitrogen removed by the abandoned septic system.  In general, the nitrogen concentration entering a septic system is approximately 40 mg/L.  According to Mass Estuaries Project (MEP) reports, the nitrogen concentration the nitrogen concentration entering the water table is 26.25 mg/L.  This nitrogen reduction includes what is removed by the septic system and the microbial activity that occurs between the septic system discharge and the groundwater table (see Note 12); a nitrogen reduction of approximately 34 percent.  Please note that not every technology requires the removal of an existing septic system, so not every technology has a different value between the Technology Efficiency and the Watershed Reduction Efficiency.  </t>
  </si>
  <si>
    <t>● Undeveloped land &gt;  1 acre.
● Outside all wetlands resource areas. 
● Outside 100 year flood hazard zone.
● Groundwater separation - GW depth &gt; 4 feet.
● Not within priority habitat areas.
● Not within protected open space. 
● Benefit if site has clay based soils, has disturbed soils, parcel intersects with 50 to 100 foot Buffer zone, has municipal ownership. 
● No steep topography.</t>
  </si>
  <si>
    <t>● Undeveloped land &gt; 1 Acre.
● Outside all wetlands resource areas. 
● Outside 100 year flood hazard zone.
● Groundwater separation - GW depth &gt; 4 feet.
● Not within priority habitat areas.
● Not within protected open space. 
● Benefit if site has clay based soils, has disturbed soils, parcel intersects with 50 to 100 foot Buffer zone, has municipal ownership.
● No steep topography.</t>
  </si>
  <si>
    <t>f6</t>
  </si>
  <si>
    <t>B</t>
  </si>
  <si>
    <t>A</t>
  </si>
  <si>
    <t>D</t>
  </si>
  <si>
    <t>C</t>
  </si>
  <si>
    <t>E</t>
  </si>
  <si>
    <t>F</t>
  </si>
  <si>
    <t>G</t>
  </si>
  <si>
    <t>G, H</t>
  </si>
  <si>
    <t>Public Facility: Urine Diverting</t>
  </si>
  <si>
    <t>P 2 -     Flow per Facility (gpd)
AN 2 - Project Cost Factor (%)
BU 2 - Discount Rate (% APR)
BX 2 - Planning Period (Nper in years)
M 30 -  Flow (gpd)
W 100 - Influent Nitrogen Load
X 100 - Influent Phosphorus Load</t>
  </si>
  <si>
    <t>Per Person</t>
  </si>
  <si>
    <t>Cubic Foot,
Linear Foot,
Cubic Yard,
Curb Mile, Each, Gallon or DTPD</t>
  </si>
  <si>
    <t>Baseline Concentration for Calculations (see Note 7)</t>
  </si>
  <si>
    <t>Metric Input</t>
  </si>
  <si>
    <t>Phosphorus
(mg/L)</t>
  </si>
  <si>
    <t>Phosphorus</t>
  </si>
  <si>
    <t>Phosphorus (Kilograms)</t>
  </si>
  <si>
    <t>Kilograms of
Phosphorus Removed</t>
  </si>
  <si>
    <r>
      <rPr>
        <b/>
        <sz val="10"/>
        <color theme="1"/>
        <rFont val="Times New Roman"/>
        <family val="1"/>
      </rPr>
      <t>Watershed Efficiency - P</t>
    </r>
    <r>
      <rPr>
        <b/>
        <sz val="10"/>
        <rFont val="Times New Roman"/>
        <family val="1"/>
      </rPr>
      <t>V Average Cost for Nutrient Reducing Technology (see Note 31 and Note 32)</t>
    </r>
  </si>
  <si>
    <t>Notes:</t>
  </si>
  <si>
    <r>
      <t>1.</t>
    </r>
    <r>
      <rPr>
        <sz val="7"/>
        <rFont val="Times New Roman"/>
        <family val="1"/>
      </rPr>
      <t xml:space="preserve">       </t>
    </r>
    <r>
      <rPr>
        <sz val="11"/>
        <rFont val="Calibri"/>
        <family val="2"/>
      </rPr>
      <t>The typical source(s) of the Influent Discharged into the Technology.</t>
    </r>
  </si>
  <si>
    <r>
      <t>2.</t>
    </r>
    <r>
      <rPr>
        <sz val="7"/>
        <rFont val="Times New Roman"/>
        <family val="1"/>
      </rPr>
      <t xml:space="preserve">       </t>
    </r>
    <r>
      <rPr>
        <sz val="11"/>
        <rFont val="Calibri"/>
        <family val="2"/>
      </rPr>
      <t>Pollutant Treated or Use - Presents the Pollutant Treated by the Technology (nitrogen or phosphorus, etc.) or the Reason to use the Technology</t>
    </r>
  </si>
  <si>
    <r>
      <t>3.</t>
    </r>
    <r>
      <rPr>
        <sz val="7"/>
        <rFont val="Times New Roman"/>
        <family val="1"/>
      </rPr>
      <t xml:space="preserve">       </t>
    </r>
    <r>
      <rPr>
        <sz val="11"/>
        <rFont val="Calibri"/>
        <family val="2"/>
      </rPr>
      <t>Column J presents the general requirements that need to be considered when siting the Technology.  The siting requirements will be site specific with additional engineering necessary to determine if a technology is applicable to a specific location.</t>
    </r>
  </si>
  <si>
    <r>
      <t>4.</t>
    </r>
    <r>
      <rPr>
        <sz val="7"/>
        <rFont val="Times New Roman"/>
        <family val="1"/>
      </rPr>
      <t xml:space="preserve">       </t>
    </r>
    <r>
      <rPr>
        <sz val="11"/>
        <rFont val="Calibri"/>
        <family val="2"/>
      </rPr>
      <t>Flows presented in Column M are Annual Average Daily Flows.</t>
    </r>
  </si>
  <si>
    <r>
      <t>5.</t>
    </r>
    <r>
      <rPr>
        <strike/>
        <sz val="7"/>
        <rFont val="Times New Roman"/>
        <family val="1"/>
      </rPr>
      <t xml:space="preserve">       </t>
    </r>
    <r>
      <rPr>
        <strike/>
        <sz val="11"/>
        <rFont val="Calibri"/>
        <family val="2"/>
      </rPr>
      <t>Cell P2 is the annual average household flow on the Cape of 160 gal/household/day which is based on water use records.</t>
    </r>
  </si>
  <si>
    <r>
      <t>6.</t>
    </r>
    <r>
      <rPr>
        <strike/>
        <sz val="7"/>
        <rFont val="Times New Roman"/>
        <family val="1"/>
      </rPr>
      <t xml:space="preserve">       </t>
    </r>
    <r>
      <rPr>
        <strike/>
        <sz val="11"/>
        <rFont val="Calibri"/>
        <family val="2"/>
      </rPr>
      <t>The Equivalent Number of Homes is the annual average wastewater flow in Column M divided by the annual average household flow in Cell R2.</t>
    </r>
  </si>
  <si>
    <r>
      <t>7.</t>
    </r>
    <r>
      <rPr>
        <sz val="7"/>
        <rFont val="Times New Roman"/>
        <family val="1"/>
      </rPr>
      <t xml:space="preserve">       </t>
    </r>
    <r>
      <rPr>
        <sz val="11"/>
        <rFont val="Calibri"/>
        <family val="2"/>
      </rPr>
      <t>The Technology Matrix assumes various nitrogen input concentrations based on influent source flow.  The nitrogen input concentration will vary based on water collected at its source and wastewater effluent which has been released into the environment.  The effluent nitrogen from the technology is dependent on the technology applied.  The total nitrogen reduction for the technology is specified input concentration minus the effluent nitrogen concentration.</t>
    </r>
  </si>
  <si>
    <r>
      <t>8.</t>
    </r>
    <r>
      <rPr>
        <sz val="7"/>
        <rFont val="Times New Roman"/>
        <family val="1"/>
      </rPr>
      <t xml:space="preserve">       </t>
    </r>
    <r>
      <rPr>
        <sz val="11"/>
        <rFont val="Calibri"/>
        <family val="2"/>
      </rPr>
      <t>Nutrient (Nitrogen and Phosphorus) percent removal is the estimated low to high range considering actual operating facilities/technologies, pilot testing performed on the technology and research performed on the technology.   In general, the closer the range of percent removals equals a higher predictability of the technology to reduce nutrients.</t>
    </r>
  </si>
  <si>
    <r>
      <t>9.</t>
    </r>
    <r>
      <rPr>
        <strike/>
        <sz val="7"/>
        <rFont val="Times New Roman"/>
        <family val="1"/>
      </rPr>
      <t xml:space="preserve">       </t>
    </r>
    <r>
      <rPr>
        <strike/>
        <sz val="11"/>
        <rFont val="Calibri"/>
        <family val="2"/>
      </rPr>
      <t>Influent Concentration (Baseline) is the concentration of Nitrogen (26.25 mg/L) or Phosphorus (6.8 mg/L) of a Title 5 system as compared to the concentration discharged Into the Technology.</t>
    </r>
  </si>
  <si>
    <r>
      <t>10.</t>
    </r>
    <r>
      <rPr>
        <strike/>
        <sz val="7"/>
        <rFont val="Times New Roman"/>
        <family val="1"/>
      </rPr>
      <t xml:space="preserve">   </t>
    </r>
    <r>
      <rPr>
        <strike/>
        <sz val="11"/>
        <rFont val="Calibri"/>
        <family val="2"/>
      </rPr>
      <t>H = High; M = Medium; L = Low; and N/A = Not Applicable</t>
    </r>
  </si>
  <si>
    <r>
      <t>11.</t>
    </r>
    <r>
      <rPr>
        <sz val="7"/>
        <rFont val="Times New Roman"/>
        <family val="1"/>
      </rPr>
      <t xml:space="preserve">   </t>
    </r>
    <r>
      <rPr>
        <sz val="11"/>
        <rFont val="Calibri"/>
        <family val="2"/>
      </rPr>
      <t>The nitrogen reduction percent is used to estimate the cost per pound or kilogram of nitrogen reduction.  In other words, the cost per pound or kilogram of nitrogen removed is the influent load specified minus the effluent nitrogen load.  The net reduction from a specific technology would be the specified influent nitrogen load minus the effluent nitrogen load resulting from installing and operating a selected technology.   The Technology Matrix is not to be used to estimate the net nitrogen load reduction from the watershed.  The Nitrogen Load Reduction Calculator and other tools have been designed for that task.</t>
    </r>
  </si>
  <si>
    <r>
      <t>12.</t>
    </r>
    <r>
      <rPr>
        <sz val="7"/>
        <rFont val="Times New Roman"/>
        <family val="1"/>
      </rPr>
      <t xml:space="preserve">   </t>
    </r>
    <r>
      <rPr>
        <sz val="11"/>
        <rFont val="Calibri"/>
        <family val="2"/>
      </rPr>
      <t>The Nitrogen Load Reduction Calculator assumes a baseline input of 26.25 mg/L.  The input is based on the Massachusetts Estuaries Program (MEP) assumption that existing nitrogen load from existing septic system wastewater systems to the groundwater is 26.25 mg/L.  This 26.25 mg/L assumes nitrogen reduction from the existing septic systems as well as treatment in the subsurface soils between the septic system discharge and the water table.  In other words, the existing nitrogen load to the watershed is 26.25 mg/L from the existing septic systems.  The net reduction from a specific technology would be the decreased nitrogen load achieved by installing and operating the selected technology.  The Nitrogen Load Reduction Calculator is used to estimate the cost per pound of nitrogen reduced from the watershed in order to compare the cost-effectiveness of the technologies but not to calculate a project cost for the technology.</t>
    </r>
  </si>
  <si>
    <r>
      <t>13.</t>
    </r>
    <r>
      <rPr>
        <sz val="7"/>
        <rFont val="Times New Roman"/>
        <family val="1"/>
      </rPr>
      <t xml:space="preserve">   </t>
    </r>
    <r>
      <rPr>
        <sz val="11"/>
        <rFont val="Calibri"/>
        <family val="2"/>
      </rPr>
      <t>Unit Metric is the measurement of technology used for cost estimating.</t>
    </r>
  </si>
  <si>
    <r>
      <t>14.</t>
    </r>
    <r>
      <rPr>
        <sz val="7"/>
        <rFont val="Times New Roman"/>
        <family val="1"/>
      </rPr>
      <t xml:space="preserve">   </t>
    </r>
    <r>
      <rPr>
        <sz val="11"/>
        <rFont val="Calibri"/>
        <family val="2"/>
      </rPr>
      <t>Quantities/unit costs have been based on the following: (a) Pricing as of March 2014.  No escalation was included; (b) Construction costs include contractor's overhead, profit, general condition costs, etc. estimated at 20 percent; (c) Project Cost equals the Construction Cost plus 40 percent for Engineering (Design and Construction Engineering), Municipal Administrative, Legal Costs and Contingency; (d) Pricing does not include considerations for site specific conditions or items such as hazardous materials; (e) Accuracy is assumed to be plus or minus 15 percent; and (f) In providing these estimated costs, it is understood that the developers of the Technology Matrix have no control over costs of labor, materials, equipment or services furnished by others or over market conditions or contractors' methods of determining prices, and that any evaluation of alternatives to be constructed or work to be performed is speculative.  Accordingly, there is no guarantee that proposals, bids or actual costs will not vary from cost information provided herein.</t>
    </r>
  </si>
  <si>
    <r>
      <t>15.</t>
    </r>
    <r>
      <rPr>
        <sz val="7"/>
        <rFont val="Times New Roman"/>
        <family val="1"/>
      </rPr>
      <t xml:space="preserve">   </t>
    </r>
    <r>
      <rPr>
        <sz val="11"/>
        <rFont val="Calibri"/>
        <family val="2"/>
      </rPr>
      <t>Land cost is based on the Barnstable County Cost Report (BCCR) estimate of $250,000 per acre.</t>
    </r>
  </si>
  <si>
    <r>
      <t>16.</t>
    </r>
    <r>
      <rPr>
        <sz val="7"/>
        <rFont val="Times New Roman"/>
        <family val="1"/>
      </rPr>
      <t xml:space="preserve">   </t>
    </r>
    <r>
      <rPr>
        <sz val="11"/>
        <rFont val="Calibri"/>
        <family val="2"/>
      </rPr>
      <t>Project Cost equals the Construction Cost plus 40 percent  or as specified value in (Cell AN2) for  Engineering (Design and Construction Engineering) , Municipal Administrative, Legal Costs and Contingency.</t>
    </r>
  </si>
  <si>
    <r>
      <t>17.</t>
    </r>
    <r>
      <rPr>
        <sz val="7"/>
        <rFont val="Times New Roman"/>
        <family val="1"/>
      </rPr>
      <t xml:space="preserve">   </t>
    </r>
    <r>
      <rPr>
        <sz val="11"/>
        <rFont val="Calibri"/>
        <family val="2"/>
      </rPr>
      <t>Project Cost equals the Construction Cost plus 40 percent  or as specified value in (Cell AN2) for  Engineering (Design and Construction Engineering) , Municipal Administrative, Legal Costs and Contingency.</t>
    </r>
  </si>
  <si>
    <r>
      <t>18.</t>
    </r>
    <r>
      <rPr>
        <sz val="7"/>
        <rFont val="Times New Roman"/>
        <family val="1"/>
      </rPr>
      <t xml:space="preserve">   </t>
    </r>
    <r>
      <rPr>
        <sz val="11"/>
        <rFont val="Calibri"/>
        <family val="2"/>
      </rPr>
      <t>The operation and maintenance cost for Cluster Treatment System - Single-stage, Conventional Treatment, and Satellite Treatment Facilities are based on the Cost Curve in Appendix B of the Barnstable County Cost Report (BCCR) Update (2014) which has an equation of  y = 626.43x-0.421.   The project cost for Cluster Treatment System - Two-stage, Advanced Treatment, Satellite Treatment - Enhanced Facilities are based on the same Cost Curve plus a 20 percent factor for the higher level of treatment.</t>
    </r>
  </si>
  <si>
    <r>
      <t>19.</t>
    </r>
    <r>
      <rPr>
        <sz val="7"/>
        <rFont val="Times New Roman"/>
        <family val="1"/>
      </rPr>
      <t xml:space="preserve">   </t>
    </r>
    <r>
      <rPr>
        <sz val="11"/>
        <rFont val="Calibri"/>
        <family val="2"/>
      </rPr>
      <t>The construction cost for Constructed Wetlands - Surface Flow are based on the Cost Curve in Appendix E of the Barnstable County Cost Report (BCCR) Update (2014) which has an equation of  y =-6E-06x2 + 27.458x + 14583.    The construction cost for Constructed Wetlands - Horizontal Subsurface Flow are based on the Cost Curve in Appendix E of the Barnstable County Cost Report (BCCR) Update (2014) which has an equation of  y = -6E-06x2 + 26.364x + 16667.  The construction cost includes land costs.</t>
    </r>
  </si>
  <si>
    <r>
      <t>20.</t>
    </r>
    <r>
      <rPr>
        <sz val="7"/>
        <rFont val="Times New Roman"/>
        <family val="1"/>
      </rPr>
      <t xml:space="preserve">   </t>
    </r>
    <r>
      <rPr>
        <sz val="11"/>
        <rFont val="Calibri"/>
        <family val="2"/>
      </rPr>
      <t>The operation and maintenance cost for Constructed Wetlands - Surface Flow are based on the Cost Curve in Appendix E of the Barnstable County Cost Report (BCCR) Update (2014) which has an equation of  y = = 5.4804x0.7616.    The operation and maintenance cost for Constructed Wetlands - Horizontal Subsurface Flow are based on the Cost Curve in Appendix E of the Barnstable County Cost Report (BCCR) Update (2014) which has an equation of  y = 6.2613x0.747.  O&amp;M costs include short term pilot study monitoring costs and long term compliance monitoring costs.</t>
    </r>
  </si>
  <si>
    <r>
      <t>21.</t>
    </r>
    <r>
      <rPr>
        <sz val="7"/>
        <rFont val="Times New Roman"/>
        <family val="1"/>
      </rPr>
      <t xml:space="preserve">   </t>
    </r>
    <r>
      <rPr>
        <sz val="11"/>
        <rFont val="Calibri"/>
        <family val="2"/>
      </rPr>
      <t>The construction cost for PRB Trench Method are based on the Cost Curve in Appendix F of the Barnstable County Cost Report (BCCR) Update (2014) which has an equation of  y = 119.1x-1.    The construction cost for PRBs - Injection Well Method are based on the Cost Curve in Appendix F of the Barnstable County Cost Report (BCCR) Update (2014) which has an equation of  y = 223.32x-1.</t>
    </r>
  </si>
  <si>
    <r>
      <t>22.</t>
    </r>
    <r>
      <rPr>
        <sz val="7"/>
        <rFont val="Times New Roman"/>
        <family val="1"/>
      </rPr>
      <t xml:space="preserve">   </t>
    </r>
    <r>
      <rPr>
        <sz val="11"/>
        <rFont val="Calibri"/>
        <family val="2"/>
      </rPr>
      <t>The operation and maintenance cost for PRB Trench Method are based on the Cost Curve in Appendix F of the Barnstable County Cost Report (BCCR) Update (2014) which has an equation of  y = 181.56x-1.    The operation and maintenance cost for PRBs - Injection Well Method are based on the Cost Curve in Appendix F of the Barnstable County Cost Report (BCCR) Update (2014) which has an equation of  y = 257.22x-1.</t>
    </r>
  </si>
  <si>
    <r>
      <t>23.</t>
    </r>
    <r>
      <rPr>
        <sz val="7"/>
        <rFont val="Times New Roman"/>
        <family val="1"/>
      </rPr>
      <t xml:space="preserve">   </t>
    </r>
    <r>
      <rPr>
        <sz val="11"/>
        <rFont val="Calibri"/>
        <family val="2"/>
      </rPr>
      <t>Adjustment factors are included to some technologies to anticipate pilot testing that can be used for refinement to performance and cost data presented.  Each adjustment factor increases or decreases Project and Operation and Maintenance costs by 10 percent in order to account for the relative complexity of the technology, local oversight, and regulatory compliance such as pilot testing, short and long term monitoring, etc.</t>
    </r>
  </si>
  <si>
    <r>
      <t>24.</t>
    </r>
    <r>
      <rPr>
        <sz val="7"/>
        <rFont val="Times New Roman"/>
        <family val="1"/>
      </rPr>
      <t xml:space="preserve">   </t>
    </r>
    <r>
      <rPr>
        <sz val="11"/>
        <rFont val="Calibri"/>
        <family val="2"/>
      </rPr>
      <t>The Barnstable County Cost Report (BCCR) identified an amortized cost for individual on-lot systems, cluster systems, satellite systems and centralized systems based on a 20 year planning period and 5 percent interest rate.  The value represents the present value of the capital costs spread over the 20 year planning period divided by 1 year of N removed plus the estimated operation and maintenance cost divided by 1 year of N removed.  No costs are included for future replacement/upgrades.</t>
    </r>
  </si>
  <si>
    <r>
      <t>25.</t>
    </r>
    <r>
      <rPr>
        <sz val="7"/>
        <rFont val="Times New Roman"/>
        <family val="1"/>
      </rPr>
      <t xml:space="preserve">   </t>
    </r>
    <r>
      <rPr>
        <sz val="11"/>
        <rFont val="Calibri"/>
        <family val="2"/>
      </rPr>
      <t>The Technology Matrix presents information on specific technologies and approaches which may or may not be able to be used as a single solution and therefore may or may not be able to be compared directly to one another.  For example, the user must assemble various cost elements (collection, treatment and disposal, for example) to be able to make a fair comparison between approaches that require collection and off-site disposal versus those that involve on-site treatment and disposal.  Column CY presents summary of infrastructure to Consider when Designing and Pricing various Technologies/ Strategies.</t>
    </r>
  </si>
  <si>
    <r>
      <t>26.</t>
    </r>
    <r>
      <rPr>
        <sz val="7"/>
        <rFont val="Times New Roman"/>
        <family val="1"/>
      </rPr>
      <t xml:space="preserve">   </t>
    </r>
    <r>
      <rPr>
        <sz val="11"/>
        <rFont val="Calibri"/>
        <family val="2"/>
      </rPr>
      <t>System resilience consists of the impact of the technology during sea level rise and flooding conditions (i.e. nitrogen release, pathogen release, timely ability to replace/begin operation).</t>
    </r>
  </si>
  <si>
    <r>
      <t>27.</t>
    </r>
    <r>
      <rPr>
        <sz val="7"/>
        <rFont val="Times New Roman"/>
        <family val="1"/>
      </rPr>
      <t xml:space="preserve">   </t>
    </r>
    <r>
      <rPr>
        <sz val="11"/>
        <rFont val="Calibri"/>
        <family val="2"/>
      </rPr>
      <t>Eco Services are considered ecological and social co-benefits of a technology.  A cost offset of a benefit is not included in the technology cost analysis, but the environmental and social eco-services that a technology provides should be considered when selecting a technology.  Elements of Eco Services include, but are not limited to, Total N and P uptake, Carbon Sequestration, Sediment Accretion, Water Filtration, Bioturbation, Bioremediation, and Biodiversity.</t>
    </r>
  </si>
  <si>
    <r>
      <t>28.</t>
    </r>
    <r>
      <rPr>
        <sz val="7"/>
        <rFont val="Times New Roman"/>
        <family val="1"/>
      </rPr>
      <t xml:space="preserve">   </t>
    </r>
    <r>
      <rPr>
        <sz val="11"/>
        <rFont val="Calibri"/>
        <family val="2"/>
      </rPr>
      <t>Monitoring of a technology will generally occur for the life of the system.  Monitoring of most of the non-traditional technologies will be required to establish the nitrogen load being removed by a technology.  The length of this monitoring period is estimated.  Annual monitoring costs are included in the annual O&amp;M cost estimates for the duration the technology is used.</t>
    </r>
  </si>
  <si>
    <r>
      <t>29.</t>
    </r>
    <r>
      <rPr>
        <sz val="7"/>
        <rFont val="Times New Roman"/>
        <family val="1"/>
      </rPr>
      <t xml:space="preserve">   </t>
    </r>
    <r>
      <rPr>
        <sz val="11"/>
        <rFont val="Calibri"/>
        <family val="2"/>
      </rPr>
      <t>Column DO presents various references, notes, and assumptions utilized in the development of the information presented for each technology.</t>
    </r>
  </si>
  <si>
    <r>
      <t>30.</t>
    </r>
    <r>
      <rPr>
        <sz val="7"/>
        <rFont val="Times New Roman"/>
        <family val="1"/>
      </rPr>
      <t xml:space="preserve">   </t>
    </r>
    <r>
      <rPr>
        <sz val="11"/>
        <rFont val="Calibri"/>
        <family val="2"/>
      </rPr>
      <t>Project Cost (PV):  Present value of equipment replaced periodically over the course of the planning period is found using the Present Value (PV) function in Excel:  PV(rate, nper, pmt, [fv], [type]) where rate is the effective interest rate for the equipment replacement cycle, based on the useful life of the equipment and the stated annual interest rate in Cell BY2 {formula: Effective Interest Rate= [(1+Nominal Rate)^Useful Life]-1}; nper is the number of replacements, found by dividing the equipment useful life (column BI) into the planning period, rounded up to the next-higher integer; pmt is the estimated replacement cost for the equipment (column BJ) - not adjusted for inflation; and fv and type are  optional parameters not used for this calculation.  Note that rounding the nper parameter upward provides for scenarios where the planning period is not evenly divisible by the useful life of the equipment.  The estimate of present value in those cases includes sufficient investment to fund one replacement after the end of the planning period. </t>
    </r>
  </si>
  <si>
    <r>
      <t>31.</t>
    </r>
    <r>
      <rPr>
        <sz val="7"/>
        <rFont val="Times New Roman"/>
        <family val="1"/>
      </rPr>
      <t xml:space="preserve">   </t>
    </r>
    <r>
      <rPr>
        <sz val="11"/>
        <rFont val="Calibri"/>
        <family val="2"/>
      </rPr>
      <t>Technology Efficiency estimates the Life Cycle Cost for each of the nutrient reducing technologies.  The Technology Efficiency Life Cycle Cost includes estimates for the design, permitting, construction and O&amp;M costs of each technology divided by the total nutrient removed by that technology over the life cycle of the technology.  The Technology Efficiency Life Cycle Costs of each technology can be compared to estimate the relative Life Cycle Costs.</t>
    </r>
  </si>
  <si>
    <r>
      <t>32.</t>
    </r>
    <r>
      <rPr>
        <sz val="7"/>
        <rFont val="Times New Roman"/>
        <family val="1"/>
      </rPr>
      <t xml:space="preserve">   </t>
    </r>
    <r>
      <rPr>
        <sz val="11"/>
        <rFont val="Calibri"/>
        <family val="2"/>
      </rPr>
      <t xml:space="preserve">The Watershed Reduction Efficiency estimates the Life Cycle Cost where the installation of a traditional or non-traditional technology results in the removal / abandonment of an existing Title 5 septic system.  Technologies where septic systems are abandoned or removed are generally those that have a collection system that removes wastewater from an existing site with a septic system to a WWTF.   The Watershed Reduction Efficiency Life Cycle Cost includes estimates for the design, permitting, construction and O&amp;M costs of each technology divided by the total nutrient removed by that technology over the life cycle of the technology minus the nitrogen removed by the abandoned septic system.  In general, the nitrogen concentration entering a septic system is approximately 40 mg/L.  According to Mass Estuaries Project (MEP) reports, the nitrogen concentration entering the water table is 26.25 mg/L.  This nitrogen reduction includes what is removed by the septic system and the microbial activity that occurs between the septic system discharge and the groundwater table (see Note 12); a nitrogen reduction of approximately 34 percent.  Please note that not every technology requires the removal of an existing septic system, so not every technology has a different value between the Technology Efficiency and the Watershed Reduction Efficiency.  </t>
    </r>
  </si>
  <si>
    <t>Shellfish, and specifically oysters, remove nitrogen from their environment. The growing and removal of the mature oysters can remove nitrogen from an estuary, reducing the estuary's nitrogen load.  Aquaculture can become a dual purpose project where shellfish are harvested for market while there will be a local reduction in nitrogen in the overlying water column during the growth and maturation of the oysters.
This method of aquaculture cultivates the shellfish in the benthic soils of the estuary or estuary bed.  Harvesting a portion of the oysters is required to remove nitrogen.  Cultivating shellfish in the estuary bed can be used in combination with other types of aquaculture as well as floating constructed wetlands designed for brackish water.</t>
  </si>
  <si>
    <t>Wild Oyster Bed Maintenance</t>
  </si>
  <si>
    <t>Overview of the Technologies Matrix v. 2.0 changes</t>
  </si>
  <si>
    <t>In the updated version of the TM, the focus has been on winnowing the fields of information to those which are most actively used in developing watershed scenarios. For example, values for nitrogen and phosphorus removal presented in pounds have been removed since all calculations are made in kilograms. Older cost data was removed, as well as high and low cost data, retaining average costs. Costs at the watershed level efficiencies (which incorporate the removal of septic systems) were removed as they were not comparable across all technologies (not all technologies require removal of septic systems).</t>
  </si>
  <si>
    <t xml:space="preserve">Updated data: </t>
  </si>
  <si>
    <r>
      <t xml:space="preserve">The </t>
    </r>
    <r>
      <rPr>
        <b/>
        <sz val="11"/>
        <rFont val="Calibri"/>
        <family val="2"/>
      </rPr>
      <t>Baseline Concentration for Calculations: Nitrogen (mg/l)</t>
    </r>
    <r>
      <rPr>
        <sz val="11"/>
        <rFont val="Calibri"/>
        <family val="2"/>
      </rPr>
      <t xml:space="preserve"> (column Q) was changed from 40.0 mg/l to 26.25 mg/l for the on-site technologies to reflect agreement that the baseline Nitrogen concentration in the effluent from these technologies and entering the groundwater is 26.25 mg/l, the value used in the MEP studies. As a result, this reduction in the baseline nitrogen has a reduction effect on the percent of nitrogen removal that may be assigned to these technologies. Consequently, this version of the Tech Matrix shows changes in columns S and T for some technologies.</t>
    </r>
  </si>
  <si>
    <r>
      <t xml:space="preserve">The </t>
    </r>
    <r>
      <rPr>
        <b/>
        <sz val="11"/>
        <rFont val="Calibri"/>
        <family val="2"/>
      </rPr>
      <t>Useful Life</t>
    </r>
    <r>
      <rPr>
        <sz val="11"/>
        <rFont val="Calibri"/>
        <family val="2"/>
      </rPr>
      <t xml:space="preserve"> (column BI) was changed from 20 to 4 for PRBs - Injection Well Method to reflect the need to re-inject the PRB medium (effectively, re-install the technology) on a more frequent basis.</t>
    </r>
  </si>
  <si>
    <r>
      <t xml:space="preserve">The </t>
    </r>
    <r>
      <rPr>
        <b/>
        <sz val="11"/>
        <rFont val="Calibri"/>
        <family val="2"/>
      </rPr>
      <t>Siting Criteria</t>
    </r>
    <r>
      <rPr>
        <sz val="11"/>
        <rFont val="Calibri"/>
        <family val="2"/>
      </rPr>
      <t xml:space="preserve"> (column J) was revised to reflect lessons learned on siting PRBs – Injection Well Method.</t>
    </r>
  </si>
  <si>
    <r>
      <t xml:space="preserve">An entry for </t>
    </r>
    <r>
      <rPr>
        <b/>
        <sz val="11"/>
        <rFont val="Calibri"/>
        <family val="2"/>
      </rPr>
      <t>Aquaculture – Shellfish Cultivated Above Estuary Bed, Nursery Culture</t>
    </r>
    <r>
      <rPr>
        <sz val="11"/>
        <rFont val="Calibri"/>
        <family val="2"/>
      </rPr>
      <t xml:space="preserve"> was added based on the significantly different characteristics of this “year 1” culturing activity. Figures for removal rates for </t>
    </r>
    <r>
      <rPr>
        <b/>
        <sz val="11"/>
        <rFont val="Calibri"/>
        <family val="2"/>
      </rPr>
      <t xml:space="preserve">Aquaculture – Shellfish Cultivated Above Estuary Bed </t>
    </r>
    <r>
      <rPr>
        <sz val="11"/>
        <rFont val="Calibri"/>
        <family val="2"/>
      </rPr>
      <t>were changed based on data from recent projects.</t>
    </r>
  </si>
  <si>
    <r>
      <t>Notes</t>
    </r>
    <r>
      <rPr>
        <sz val="11"/>
        <rFont val="Calibri"/>
        <family val="2"/>
      </rPr>
      <t xml:space="preserve"> previously provided at the bottom of the spreadsheet have been moved to a separate worksheet, or tab, within the Tech Matrix file, for ease of reference.</t>
    </r>
  </si>
  <si>
    <t>Y1 oysters/bag</t>
  </si>
  <si>
    <t>Bags/acre</t>
  </si>
  <si>
    <t>Shellfish Species, Size and Growing System</t>
  </si>
  <si>
    <t>Harvest Weight (HW)</t>
  </si>
  <si>
    <t>Initial</t>
  </si>
  <si>
    <t>Final</t>
  </si>
  <si>
    <t>Increase</t>
  </si>
  <si>
    <t>Grow-Out</t>
  </si>
  <si>
    <t>Nitrogen Uptake</t>
  </si>
  <si>
    <t>Harvested Oysters</t>
  </si>
  <si>
    <t>Floating Bags</t>
  </si>
  <si>
    <t>Deployment Density</t>
  </si>
  <si>
    <t>Deployed Individuals</t>
  </si>
  <si>
    <t>Mortality</t>
  </si>
  <si>
    <t>Harvest Individuals</t>
  </si>
  <si>
    <t>Fill factor</t>
  </si>
  <si>
    <t xml:space="preserve">Uptake </t>
  </si>
  <si>
    <t>g/ind</t>
  </si>
  <si>
    <t>% of HW</t>
  </si>
  <si>
    <t>years</t>
  </si>
  <si>
    <t xml:space="preserve"> g/ind/yr</t>
  </si>
  <si>
    <t>per bag</t>
  </si>
  <si>
    <t>/sq.ft.</t>
  </si>
  <si>
    <t>/acre</t>
  </si>
  <si>
    <t>sq.ft./sq.ft.</t>
  </si>
  <si>
    <t>g/sq.ft./yr</t>
  </si>
  <si>
    <t>kg/acre</t>
  </si>
  <si>
    <t>Year 1 Oysters Nursery Culture (low density)</t>
  </si>
  <si>
    <t>Year 1 Oysters Nursery Culture  (high density)</t>
  </si>
  <si>
    <t>Year 2 Oysters  Cultured to Harvest (low density)</t>
  </si>
  <si>
    <t>Year 2 Oysters  Cultured to Harvest (high density)</t>
  </si>
  <si>
    <t>Quahogs Under Net (Year 1, Year 2)</t>
  </si>
  <si>
    <t>--</t>
  </si>
  <si>
    <r>
      <t>Quahogs Broadc</t>
    </r>
    <r>
      <rPr>
        <b/>
        <sz val="11"/>
        <rFont val="Calibri"/>
        <family val="2"/>
        <scheme val="minor"/>
      </rPr>
      <t>ast for Harvest</t>
    </r>
  </si>
  <si>
    <t>Type of Shellfish Grown and Method</t>
  </si>
  <si>
    <r>
      <t>Shellfish Initial Weight</t>
    </r>
    <r>
      <rPr>
        <b/>
        <vertAlign val="superscript"/>
        <sz val="11"/>
        <color theme="1"/>
        <rFont val="Calibri"/>
        <family val="2"/>
        <scheme val="minor"/>
      </rPr>
      <t>1</t>
    </r>
  </si>
  <si>
    <r>
      <t>Shellfish Final Harvest Weight (HW)</t>
    </r>
    <r>
      <rPr>
        <b/>
        <vertAlign val="superscript"/>
        <sz val="11"/>
        <color theme="1"/>
        <rFont val="Calibri"/>
        <family val="2"/>
        <scheme val="minor"/>
      </rPr>
      <t>1</t>
    </r>
  </si>
  <si>
    <r>
      <t>Increase in Weight</t>
    </r>
    <r>
      <rPr>
        <b/>
        <vertAlign val="superscript"/>
        <sz val="11"/>
        <color theme="1"/>
        <rFont val="Calibri"/>
        <family val="2"/>
        <scheme val="minor"/>
      </rPr>
      <t>2</t>
    </r>
  </si>
  <si>
    <r>
      <t>Nitrogen Content</t>
    </r>
    <r>
      <rPr>
        <b/>
        <vertAlign val="superscript"/>
        <sz val="11"/>
        <color theme="1"/>
        <rFont val="Calibri"/>
        <family val="2"/>
        <scheme val="minor"/>
      </rPr>
      <t>1</t>
    </r>
  </si>
  <si>
    <r>
      <t>Grow-Out Time</t>
    </r>
    <r>
      <rPr>
        <b/>
        <vertAlign val="superscript"/>
        <sz val="11"/>
        <color theme="1"/>
        <rFont val="Calibri"/>
        <family val="2"/>
        <scheme val="minor"/>
      </rPr>
      <t>1</t>
    </r>
  </si>
  <si>
    <r>
      <t>Shellfish Nitrogen Uptake</t>
    </r>
    <r>
      <rPr>
        <b/>
        <vertAlign val="superscript"/>
        <sz val="11"/>
        <color theme="1"/>
        <rFont val="Calibri"/>
        <family val="2"/>
        <scheme val="minor"/>
      </rPr>
      <t>3</t>
    </r>
  </si>
  <si>
    <r>
      <t>Deployment Density</t>
    </r>
    <r>
      <rPr>
        <b/>
        <vertAlign val="superscript"/>
        <sz val="11"/>
        <color theme="1"/>
        <rFont val="Calibri"/>
        <family val="2"/>
        <scheme val="minor"/>
      </rPr>
      <t>4</t>
    </r>
  </si>
  <si>
    <r>
      <t>Shellfish Deployed</t>
    </r>
    <r>
      <rPr>
        <b/>
        <vertAlign val="superscript"/>
        <sz val="11"/>
        <color theme="1"/>
        <rFont val="Calibri"/>
        <family val="2"/>
        <scheme val="minor"/>
      </rPr>
      <t>5</t>
    </r>
  </si>
  <si>
    <t>Mortality Estimate</t>
  </si>
  <si>
    <t>Harvest Density</t>
  </si>
  <si>
    <r>
      <t>Harvest Target</t>
    </r>
    <r>
      <rPr>
        <b/>
        <vertAlign val="superscript"/>
        <sz val="11"/>
        <color theme="1"/>
        <rFont val="Calibri"/>
        <family val="2"/>
        <scheme val="minor"/>
      </rPr>
      <t>5</t>
    </r>
  </si>
  <si>
    <r>
      <t>Annual Nitrogen Uptake</t>
    </r>
    <r>
      <rPr>
        <b/>
        <vertAlign val="superscript"/>
        <sz val="11"/>
        <color theme="1"/>
        <rFont val="Calibri"/>
        <family val="2"/>
        <scheme val="minor"/>
      </rPr>
      <t>6</t>
    </r>
  </si>
  <si>
    <t>grams</t>
  </si>
  <si>
    <t>grams/year</t>
  </si>
  <si>
    <t>shellfish/sq.ft.</t>
  </si>
  <si>
    <t>#/acre</t>
  </si>
  <si>
    <t>%</t>
  </si>
  <si>
    <t>kilograms/acre/year</t>
  </si>
  <si>
    <r>
      <t>Year 1 Oysters Nursery Culture</t>
    </r>
    <r>
      <rPr>
        <b/>
        <vertAlign val="superscript"/>
        <sz val="11"/>
        <rFont val="Calibri"/>
        <family val="2"/>
        <scheme val="minor"/>
      </rPr>
      <t>7</t>
    </r>
    <r>
      <rPr>
        <b/>
        <sz val="11"/>
        <rFont val="Calibri"/>
        <family val="2"/>
        <scheme val="minor"/>
      </rPr>
      <t xml:space="preserve"> (low density)</t>
    </r>
  </si>
  <si>
    <r>
      <t>Year 1 Oysters Nursery  Culture</t>
    </r>
    <r>
      <rPr>
        <b/>
        <vertAlign val="superscript"/>
        <sz val="11"/>
        <rFont val="Calibri"/>
        <family val="2"/>
        <scheme val="minor"/>
      </rPr>
      <t>7</t>
    </r>
    <r>
      <rPr>
        <b/>
        <sz val="11"/>
        <rFont val="Calibri"/>
        <family val="2"/>
        <scheme val="minor"/>
      </rPr>
      <t xml:space="preserve">  (high density)</t>
    </r>
  </si>
  <si>
    <t>Year 2 Oysters Cultured to Harvest (low density)</t>
  </si>
  <si>
    <t>Year 2 Oysters Cultured to Harvest (high density)</t>
  </si>
  <si>
    <t>Quahogs Broadcast for Harvest</t>
  </si>
  <si>
    <t>NOTE:  Nursery culture is gear-based and calculations include systems that use floating bags, racking and/or cages</t>
  </si>
  <si>
    <r>
      <t>1.</t>
    </r>
    <r>
      <rPr>
        <sz val="7"/>
        <color theme="1"/>
        <rFont val="Times New Roman"/>
        <family val="1"/>
      </rPr>
      <t xml:space="preserve">      </t>
    </r>
    <r>
      <rPr>
        <sz val="8"/>
        <color theme="1"/>
        <rFont val="Arial"/>
        <family val="2"/>
      </rPr>
      <t>Data for “Shellfish Initial Weight”, “Shellfish Final Harvest Weight”, “Nitrogen Content” and “Grow-Out Time” are from Lonnie’s (Kescayo-Gansett) Pond Oyster Aquaculture Demonstration Project Year 1 Project Report – Draft (February 16, 2017) and Reitsma 2017.</t>
    </r>
  </si>
  <si>
    <r>
      <t>2.</t>
    </r>
    <r>
      <rPr>
        <sz val="7"/>
        <color theme="1"/>
        <rFont val="Times New Roman"/>
        <family val="1"/>
      </rPr>
      <t xml:space="preserve">      </t>
    </r>
    <r>
      <rPr>
        <sz val="8"/>
        <color theme="1"/>
        <rFont val="Arial"/>
        <family val="2"/>
      </rPr>
      <t>“Increase in Weight” is calculated by subtracting “Shellfish Initial Weight” from “Shellfish Final Harvest Weight”.</t>
    </r>
  </si>
  <si>
    <r>
      <t>3.</t>
    </r>
    <r>
      <rPr>
        <sz val="7"/>
        <color theme="1"/>
        <rFont val="Times New Roman"/>
        <family val="1"/>
      </rPr>
      <t xml:space="preserve">      </t>
    </r>
    <r>
      <rPr>
        <sz val="8"/>
        <color theme="1"/>
        <rFont val="Arial"/>
        <family val="2"/>
      </rPr>
      <t>“Shellfish Nitrogen Uptake” is calculated by multiplying “Increase in Weight” times “Nitrogen Content” and dividing by "Grow-Out Time" .</t>
    </r>
  </si>
  <si>
    <r>
      <t>4.</t>
    </r>
    <r>
      <rPr>
        <sz val="7"/>
        <color theme="1"/>
        <rFont val="Times New Roman"/>
        <family val="1"/>
      </rPr>
      <t xml:space="preserve">      </t>
    </r>
    <r>
      <rPr>
        <sz val="8"/>
        <color theme="1"/>
        <rFont val="Arial"/>
        <family val="2"/>
      </rPr>
      <t>“Density” is based on a variety of published sources and local grower practices</t>
    </r>
  </si>
  <si>
    <r>
      <t>5.</t>
    </r>
    <r>
      <rPr>
        <sz val="7"/>
        <color theme="1"/>
        <rFont val="Times New Roman"/>
        <family val="1"/>
      </rPr>
      <t xml:space="preserve">      </t>
    </r>
    <r>
      <rPr>
        <sz val="8"/>
        <color theme="1"/>
        <rFont val="Arial"/>
        <family val="2"/>
      </rPr>
      <t>Rounded to nearest ten thousand.</t>
    </r>
  </si>
  <si>
    <r>
      <t>6.</t>
    </r>
    <r>
      <rPr>
        <sz val="7"/>
        <color theme="1"/>
        <rFont val="Times New Roman"/>
        <family val="1"/>
      </rPr>
      <t xml:space="preserve">      </t>
    </r>
    <r>
      <rPr>
        <sz val="8"/>
        <color theme="1"/>
        <rFont val="Arial"/>
        <family val="2"/>
      </rPr>
      <t>“Annual Nitrogen Uptake” is calculated by multiplying “Shellfish Nitrogen Uptake” by “Density” and 43,560 square feet per acre.</t>
    </r>
  </si>
  <si>
    <r>
      <t>7.</t>
    </r>
    <r>
      <rPr>
        <sz val="7"/>
        <color theme="1"/>
        <rFont val="Times New Roman"/>
        <family val="1"/>
      </rPr>
      <t>     </t>
    </r>
    <r>
      <rPr>
        <sz val="8"/>
        <color theme="1"/>
        <rFont val="Arial"/>
        <family val="2"/>
      </rPr>
      <t xml:space="preserve"> "Nursery Culture" is gear-based and calculations include systems that use floating bags, racking and/or cages.</t>
    </r>
  </si>
  <si>
    <t>Aquaculture Details</t>
  </si>
  <si>
    <t>Favorable Siting Conditions include: 
● High N load to embayment (based on TMDL)
● Proximity to receiving water
● Potential to remove large percentage of the load
● Shallow treatment zone (less than 75 ft) 
● High flow rate
● Focused zone of treatment
● PRB alignment perpendicular to groundwater flow
● Town or publicly owned land 
● Open areas away from structures 
● Road, electric or rail rights-of-way
● Avoid permitting challenges
● Treatment application for nitrates, not ammonium</t>
  </si>
  <si>
    <t>Favorable Siting Conditions include: 
● High N load to embayment (based on TMDL)
● Proximity to receiving water
● Potential to remove large percentage of the load
● Shallow treatment zone
● High flow rate
● Focused zone of treatment
● PRB alignment perpendicular to groundwater flow
● Town or publicly owned land 
● Open areas away from structures 
● Road, electric or rail rights-of-way
● Avoid permitting challenges
● Treatment application for nitrates, not ammonium</t>
  </si>
  <si>
    <t>● MassDEP
● US EPA
● MassDOT
● Department of Public Works
● Board of Health
● Conservation Commission
● Natural Heritage
● Mass Historical Commission
● US Army Corps or Engineers
● Division of Marine and Fisheries
● US Fish and Wildlife Service</t>
  </si>
  <si>
    <t>● MassDEP
● Department of Public Works
● Board of Health
● Conservation Commission
● Natural Heritage
● Mass Historical Commission
● US Army Corps or Engineers
● US Fish and Wildlife Service
● Land Owner</t>
  </si>
  <si>
    <t>● MassDEP
● Department of Public Works
● Board of Health
● Conservation Commission
● MassDOT
● Natural Heritage
● Mass Historical Commission
● US Army Corps or Engineers
● US Fish and Wildlife Service
● Land Owner</t>
  </si>
  <si>
    <t>● MassDEP
● US EPA
● MassDOT
● Department of Public Works
● Board of Health
● Conservation Commission
● Natural Heritage
● Mass Historical Commission
● US Army Corps or Engineers
● Division of Marine and Fisheries
● US Fish and Wildlife Service
● Building Department
● Land Owner</t>
  </si>
  <si>
    <t>● MassDEP
● US EPA
● MassDOT
● Department of Public Works
● Board of Health
● Conservation Commission
● Natural Heritage
● Mass Historical Commission
● US Army Corps or Engineers
● Division of Marine and Fisheries
● US Fish and Wildlife Service
● Coastal Zone Management</t>
  </si>
  <si>
    <t xml:space="preserve">MassDEP
US EPA
Board of Health
Army Corps or Engineers
Division of Marine and Fisheries
Other:
Conservation Commission
Natural Heritage
</t>
  </si>
  <si>
    <t xml:space="preserve">● Board of Health
● Department of Public Works
● Building Department
● Conservation Commission
● Natural Heritage
● Mass Historical Commission
</t>
  </si>
  <si>
    <t>● MassDEP
● Board of Health
● Department of Public Works
● Conservation Commission
● Natural Heritage
● Mass Historical Commission
● Building Department</t>
  </si>
  <si>
    <t>During the development of the first TM, the authors erred on the side of presenting more rather than less data. If information was collected in pounds but was needed in kilograms, a new field of data was created rather than deleting the old measure.</t>
  </si>
  <si>
    <r>
      <rPr>
        <b/>
        <sz val="11"/>
        <rFont val="Calibri"/>
        <family val="2"/>
      </rPr>
      <t>Simplification:</t>
    </r>
    <r>
      <rPr>
        <sz val="11"/>
        <rFont val="Calibri"/>
        <family val="2"/>
      </rPr>
      <t xml:space="preserve"> </t>
    </r>
  </si>
  <si>
    <t>● MassDEP
● Department of Public Works
● Board of Health
● Conservation Commission
● Natural Heritage
● Mass Historical Commission
● US Army Corps or Engineers
● Division of Marine and Fisheries
● US Fish and Wildlife Service
● Building Department
● Land Owner</t>
  </si>
  <si>
    <t>1 to 3</t>
  </si>
  <si>
    <t>● Provides carbon sequestration and  can buffer ocean acidification.</t>
  </si>
  <si>
    <t>● Increases biodiversity and supports plant life survivability for eel grass and other species.</t>
  </si>
  <si>
    <t>● Economic benefits (commercial shellfish harvesting).</t>
  </si>
  <si>
    <t>● May not be applicable in all watersheds due to growing conditions, aesthetics or navigation.
● Seasonal nitrogen uptake although coincident with natural cycle and algal blooms.
● Requires removal of shellfish, in order to take credit for nitrogen removal.
● Nitrogen uptake subject to possible disruption due to disease or population crash.
● Population monitoring is important to maintain persistence of the benefit.
● Large concentrations of shellfish can generate waste products, reduce dissolved oxygen levels, and possibly generate ammonia.
● Shellfish will undergo rapid growth to a marketable size after which they must be harvested. The entire process is then be repeated. If this is not economically viable for harvesting and selling the shellfish, the harvested shellfish will have to be disposed of. 
● Can require large areas to gain significant nitrogen removal.
● If the  waterbody is closed for shell fishing, management of the shellfish by the town (or other) will be required to prevent the shellfish from getting into the food supply.</t>
  </si>
  <si>
    <t>● Relatively low capital and operating cost.
● Very little to no above ground structures. 
● High removal efficiency.</t>
  </si>
  <si>
    <t>● Relatively low capital and operating cost.
● No above ground structures. 
● High removal efficiency.</t>
  </si>
  <si>
    <t>● In year one after planting, no remediation occurs because trees have not reached the groundwater. 
● As the trees get larger and pump more water, nitrogen removal rates increase and plateau. Seasonal required ET.</t>
  </si>
  <si>
    <t>● May not be applicable in all watersheds due to growing conditions, aesthetics or navigation.
● Seasonal nitrogen uptake although coincident with natural cycle and algal blooms.
● Requires removal of vegetation in order to take credit for nitrogen removal.
● Nitrogen uptake subject to possible disruption due to disease or other. 
● Growth and harvest monitoring is important to maintain persistence of the benefit.</t>
  </si>
  <si>
    <r>
      <t xml:space="preserve">After primary treatment in a septic tank or WWTF or secondary treatment at a WWTF, water is fed into a free water surface (FWS) constructed wetland.  Free water constructed wetlands closely mimic the ecosystem of a natural wetland by utilizing water loving plants to filter wastewater through their root zone, a planted medium, and open water zones.  FWS wetlands are systems where open water is exposed much like in a natural marsh.  
The reclaimed water is generally discharged into a leach field or similar system for discharge to the groundwater. The reclaimed water can also  be discharged into a water body or used for open space irrigation after treatment.  However,  more strict permitting and water quality standards must be met if not discharging to groundwater.
This technology can be used as an alternative to conventional polishing (i.e. mechanical and/or chemical) of secondary and advanced wastewater treatment.
</t>
    </r>
    <r>
      <rPr>
        <sz val="10"/>
        <color rgb="FFFF0000"/>
        <rFont val="Times New Roman"/>
        <family val="1"/>
      </rPr>
      <t>This is a source Reduction technology.</t>
    </r>
  </si>
  <si>
    <r>
      <t xml:space="preserve">After primary treatment in a septic tank or WWTF or secondary treatment at a WWTF, wastewater is treated by pumping water slowly through subsurface gravel beds where it is filtered through plant root zones and soil media.  Water flows 3-8" under the surface to prevent public exposure to wastewater and mosquito breeding.  A combination of horizontal and vertical flow subsurface systems must be utilized to provide total nitrogen removal.  
The reclaimed water is generally discharged into a leach field or similar system for discharge to the groundwater. The reclaimed water can also  be discharged into a water body or used for open space irrigation after treatment. However, more strict permitting and water quality standards must be met if not discharging to groundwater.
This technology can be  used as an alternative to conventional polishing (i.e. mechanical and/or chemical) of secondary and advanced wastewater treatment.
</t>
    </r>
    <r>
      <rPr>
        <sz val="10"/>
        <color rgb="FFFF0000"/>
        <rFont val="Times New Roman"/>
        <family val="1"/>
      </rPr>
      <t>This is a source Reduction technology.</t>
    </r>
  </si>
  <si>
    <r>
      <t xml:space="preserve">After secondary treatment, WWTF effluent is irrigated onto plants to remove nutrients and other contaminants.  Fast growing poplar and willow trees are typically used.  Phytoirrigation requires periodic maintenance and removal of the vegetation being irrigated.
</t>
    </r>
    <r>
      <rPr>
        <sz val="10"/>
        <color rgb="FFFF0000"/>
        <rFont val="Times New Roman"/>
        <family val="1"/>
      </rPr>
      <t>This is a source Reduction technology.</t>
    </r>
  </si>
  <si>
    <r>
      <t xml:space="preserve">A toilet system which separates human waste from shower, sink and other household water uses.  The Composting toilets use no or minimal amounts of water. The human waste captured by the composting toilets is decomposed and turned into compost.  The compost generated from composting toilets can be used as fertilizer to replace synthetic fertilizers or can be removed from the site.  Composting toilets require the installation of a separate toilet(s) and room in the basement for a container to capture and compost the human waste.  Household water use (i.e. sink and shower uses) continue to flow to the septic system.
</t>
    </r>
    <r>
      <rPr>
        <sz val="10"/>
        <color rgb="FFFF0000"/>
        <rFont val="Times New Roman"/>
        <family val="1"/>
      </rPr>
      <t>This is a source Reduction technology.</t>
    </r>
  </si>
  <si>
    <r>
      <t xml:space="preserve">Incinerating toilets are self-contained waterless systems that do not require being hooked-up to a sewer system or in-ground septic system (except to dispose of gray water). They rely on electric power or natural or propane gas to incinerate human waste to sterile clean ash. When properly installed these systems are simple to use, safe, clean and relatively easy to maintain.  Composting toilets require the installation of a separate toilet(s) and room in the basement for a container to capture and compost the human waste.  Household water use (i.e. sink and shower uses) continue to flow to the septic system.
</t>
    </r>
    <r>
      <rPr>
        <sz val="10"/>
        <color rgb="FFFF0000"/>
        <rFont val="Times New Roman"/>
        <family val="1"/>
      </rPr>
      <t>This is a source Reduction technology.</t>
    </r>
  </si>
  <si>
    <r>
      <t xml:space="preserve">A packaging toilet encapsulates human waste in a durable material for removal from the site.  The package is stored beneath the toilet and removed and taken away when full.  The nutrients can be recycled by the servicing company that picks up the packages.  Household water use (i.e. sink and shower uses) continue to flow to the septic system.
</t>
    </r>
    <r>
      <rPr>
        <sz val="10"/>
        <color rgb="FFFF0000"/>
        <rFont val="Times New Roman"/>
        <family val="1"/>
      </rPr>
      <t>This is a source Reduction technology.</t>
    </r>
  </si>
  <si>
    <r>
      <t xml:space="preserve">Urine diversion systems divert urine into a holding tank where the urine is stored and periodically collected by a servicing company.  The servicing company empties the tank for disposal or conversion to a fertilizer.  Through these means, the nitrogen is removed from the watershed.  With the urine diverting toilets, the remainder of the human waste and all other water uses (sink and shower) continue to go to the septic system.
</t>
    </r>
    <r>
      <rPr>
        <sz val="10"/>
        <color rgb="FFFF0000"/>
        <rFont val="Times New Roman"/>
        <family val="1"/>
      </rPr>
      <t>This is a source Reduction technology.</t>
    </r>
  </si>
  <si>
    <r>
      <t xml:space="preserve">Urine diversion systems installed in public facilities diverts urine into a holding tank where the urine is stored and periodically collected by a servicing company.  The servicing company empties the tank for disposal or conversion to a fertilizer.  Through these means, the nitrogen is removed from the watershed.  With the urine diverting toilets, the remainder of the human waste and all other water uses (sink and shower) continue to go to the septic system.
</t>
    </r>
    <r>
      <rPr>
        <sz val="10"/>
        <color rgb="FFFF0000"/>
        <rFont val="Times New Roman"/>
        <family val="1"/>
      </rPr>
      <t>This is a source Reduction technology</t>
    </r>
    <r>
      <rPr>
        <sz val="10"/>
        <rFont val="Times New Roman"/>
        <family val="1"/>
      </rPr>
      <t>.</t>
    </r>
  </si>
  <si>
    <r>
      <t xml:space="preserve">Managing fertilizer application rates to lawns, golf courses, athletic facilities and cranberry bogs.  Residential lawn loading rates could be reduced on existing developed parcels through an intensive public education/outreach program. This could include a “Cape Cod Lawn” branding program, replacing some turf areas with native vegetation, establishing naturally-vegetated buffer strips on waterfront lots, and reducing application rates.  Fertilizer loading rates for new development could be accomplished by reducing lot sizes (cluster development), by restricting lawn sizes and/or by incorporating more naturally-vegetated open space areas.  Municipalities could directly reduce fertilizer applications on athletic fields and other properties.  Golf courses can significantly reduce nitrogen loading rates by using slow-release fertilizers and reducing application rates in rough areas.   Cranberry bog fertilizer exports from the bogs can be reduced using tail water recovery systems.  Site-specific assessments are needed to estimate load reductions.
</t>
    </r>
    <r>
      <rPr>
        <sz val="10"/>
        <color rgb="FFFF0000"/>
        <rFont val="Times New Roman"/>
        <family val="1"/>
      </rPr>
      <t>This is a source Reduction technology.</t>
    </r>
  </si>
  <si>
    <r>
      <t xml:space="preserve">Existing developments or schools with excess wastewater treatment capacity allow existing nearby developments to connect to their underutilized wastewater treatment infrastructure.
</t>
    </r>
    <r>
      <rPr>
        <sz val="10"/>
        <color rgb="FFFF0000"/>
        <rFont val="Times New Roman"/>
        <family val="1"/>
      </rPr>
      <t>This is a source Reduction technology.</t>
    </r>
  </si>
  <si>
    <r>
      <t xml:space="preserve">Both Compact Development and Open Space Residential Development (OSRD) of subdivisions result in smaller lots and less maintained lawn acres.  The higher density development reduces wastewater collection costs while providing a common disposal area.
</t>
    </r>
    <r>
      <rPr>
        <sz val="10"/>
        <color rgb="FFFF0000"/>
        <rFont val="Times New Roman"/>
        <family val="1"/>
      </rPr>
      <t>This is a source Reduction technology.</t>
    </r>
  </si>
  <si>
    <r>
      <t xml:space="preserve">A regulatory strategy that transfers development and development rights from one property (sending area) to another (receiving area) to direct growth and associated nutrient loading away from sensitive receiving watersheds or water bodies. The protected parcels (sending areas) receive a deed restriction that limits the future level of development.  The deed restriction can limit the number of homes or tie development to the availability to future WWTF infrastructure.
</t>
    </r>
    <r>
      <rPr>
        <sz val="10"/>
        <color rgb="FFFF0000"/>
        <rFont val="Times New Roman"/>
        <family val="1"/>
      </rPr>
      <t>This is a source Reduction technology.</t>
    </r>
    <r>
      <rPr>
        <sz val="10"/>
        <rFont val="Times New Roman"/>
        <family val="1"/>
      </rPr>
      <t xml:space="preserve">
</t>
    </r>
  </si>
  <si>
    <r>
      <t xml:space="preserve">Standard septic systems consist of a septic tank and soil adsorption system (leaching field).
</t>
    </r>
    <r>
      <rPr>
        <sz val="10"/>
        <color rgb="FFFF0000"/>
        <rFont val="Times New Roman"/>
        <family val="1"/>
      </rPr>
      <t>This is a source Reduction technology.</t>
    </r>
  </si>
  <si>
    <r>
      <t xml:space="preserve">Innovative/Alternative (I/A) on-site denitrifying systems typically consist of standard septic system components augmented to remove nutrients.  I/A systems are commercial, proprietary systems intended to be designed as recirculating sand filter (RSF) equivalent by meeting the same treatment limits in a smaller footprint.  Total N &lt;19 mg/L.
</t>
    </r>
    <r>
      <rPr>
        <sz val="10"/>
        <color rgb="FFFF0000"/>
        <rFont val="Times New Roman"/>
        <family val="1"/>
      </rPr>
      <t xml:space="preserve">
This is a source Reduction technology.</t>
    </r>
  </si>
  <si>
    <r>
      <t xml:space="preserve">Enhanced I/A systems for TMDL compliance.  Enhanced I/A (RSF Equivalent) to achieve 50% would definitely require chemical systems to reliably meet such limits that would  target near 10 mg/L for TN to consistently meet design of 13 mg/L.  Nitrogen levels are typically treated to 10 to 13 mg/L.
</t>
    </r>
    <r>
      <rPr>
        <sz val="10"/>
        <color rgb="FFFF0000"/>
        <rFont val="Times New Roman"/>
        <family val="1"/>
      </rPr>
      <t>This is a source Reduction technology.</t>
    </r>
    <r>
      <rPr>
        <sz val="10"/>
        <rFont val="Times New Roman"/>
        <family val="1"/>
      </rPr>
      <t xml:space="preserve">
</t>
    </r>
  </si>
  <si>
    <r>
      <t xml:space="preserve">A single-stage cluster system is an I/A system generally treating wastewater flows greater than 2,000 gallons per day.  Several homes or businesses discharge to and are treated by a shared I/A system.  Nitrogen levels are typically treated to below 15 mg/L.
</t>
    </r>
    <r>
      <rPr>
        <sz val="10"/>
        <color rgb="FFFF0000"/>
        <rFont val="Times New Roman"/>
        <family val="1"/>
      </rPr>
      <t>This is a source Reduction technology.</t>
    </r>
  </si>
  <si>
    <r>
      <t xml:space="preserve">Two-stage cluster systems are similar to a single-stage cluster system, but require a separate denitrifying process and other facilities to reduce nitrogen levels below that of a single-stage system.  Two-stage systems may require chemical systems and an operator to run the system.  Disinfection may be required if the discharge is located within a Zone II of a public water supply well.  Nitrogen levels are typically reduced to below 8 mg/L.
</t>
    </r>
    <r>
      <rPr>
        <sz val="10"/>
        <color rgb="FFFF0000"/>
        <rFont val="Times New Roman"/>
        <family val="1"/>
      </rPr>
      <t>This is a source Reduction technology.</t>
    </r>
  </si>
  <si>
    <r>
      <t xml:space="preserve">A conventional wastewater treatment facility typically treats wastewater from more than 1,000 homes.  Wastewater flows are generally between 330,000 and 1,000,000 gpd.  Nitrogen levels are typically treated to around 10 mg/L.
</t>
    </r>
    <r>
      <rPr>
        <sz val="10"/>
        <color rgb="FFFF0000"/>
        <rFont val="Times New Roman"/>
        <family val="1"/>
      </rPr>
      <t>This is a source Reduction technology.</t>
    </r>
  </si>
  <si>
    <r>
      <t xml:space="preserve">An Advanced wastewater treatment facility typically treats wastewater from more than 1,000 homes (between 330,000 and 1,000,000 gpd).  Nitrogen levels are typically treated to around 5 mg/L.
</t>
    </r>
    <r>
      <rPr>
        <sz val="10"/>
        <color rgb="FFFF0000"/>
        <rFont val="Times New Roman"/>
        <family val="1"/>
      </rPr>
      <t>This is a source Reduction technology.</t>
    </r>
  </si>
  <si>
    <r>
      <t xml:space="preserve">Wastewater treatment facility typically treating wastewater from up to 300 homes.  Wastewater flow is between 25,000 and 330,000 gpd.  Nitrogen levels are typically treated to around 10 mg/L.
</t>
    </r>
    <r>
      <rPr>
        <sz val="10"/>
        <color rgb="FFFF0000"/>
        <rFont val="Times New Roman"/>
        <family val="1"/>
      </rPr>
      <t>This is a source Reduction technology.</t>
    </r>
    <r>
      <rPr>
        <sz val="10"/>
        <rFont val="Times New Roman"/>
        <family val="1"/>
      </rPr>
      <t xml:space="preserve">
</t>
    </r>
  </si>
  <si>
    <r>
      <t xml:space="preserve">Satellite wastewater treatment facilities typically treat wastewater from up to 1,000 homes (between 25,000 and 330,000 gpd).  Enhanced wastewater treatment facilities are similar to a satellite wastewater treatment facility, but require a separate denitrifying process and other facilities to reduce nitrogen levels below that of a satellite wastewater treatment facility.  Enhanced facilities will require chemical systems and an operator to run the system.  Disinfection may be required if the discharge is located within a Zone II of a public water supply well.  Nitrogen levels are typically reduced to below 8 mg/L.
</t>
    </r>
    <r>
      <rPr>
        <sz val="10"/>
        <color rgb="FFFF0000"/>
        <rFont val="Times New Roman"/>
        <family val="1"/>
      </rPr>
      <t>This is a source Reduction technology.</t>
    </r>
  </si>
  <si>
    <r>
      <t xml:space="preserve">Under anoxic conditions, some of the phosphorus in pond sediments may pass into the water column fueling algal growth. Chemical treatments are applied to inactivate phosphorus in the benthic sediment. A chemical that is typically used for phosphorus inactivation is alum. 
Phosphorus in the sediment binds tightly to the alum, which becomes incorporated into the sediments of the lake. Even when external sources of phosphorus have been curtailed by best management practices,  the internal recycling of phosphorus can continue to support explosive algal growth. Alum is used primarily to control this internal recycling of phosphorus from the sediments of the lake bottom. 
On contact with water, alum forms a fluffy aluminum hydroxide precipitate called flock. Aluminum hydroxide  binds with phosphorus to form an aluminum phosphate compound. This compound is insoluble in water under most conditions so the phosphorus in it can no longer be used as food by algae.
</t>
    </r>
    <r>
      <rPr>
        <sz val="10"/>
        <color rgb="FFFF0000"/>
        <rFont val="Times New Roman"/>
        <family val="1"/>
      </rPr>
      <t>This is a Remediation technology.</t>
    </r>
  </si>
  <si>
    <r>
      <t xml:space="preserve">Manmade floating "islands" serve as floating wetlands that treat waters within ponds and estuaries.  The islands are made of recycled materials that float on ponds or estuaries, exposing the plants' rootzone to the pond and estuarine waters.  The roots provide habitat for fish and microorganisms while reducing nitrogen and phosphorus levels.  The floating islands can also be designed to culture shellfish and seaweed, which can be harvested, offsetting some of the systems costs.  Some systems circulate surface water through the island, exposing the water to the root zones of the plants.  The islands can be installed with shellfish beds and/or salt marsh grasses potentially assisting with their establishment.  The islands are generally stationary and can be installed with walkways to access and maintain the plants growing on the islands.  The islands require little O&amp;M and do not need to be removed during the winter months, even if freezing water is a concern.
</t>
    </r>
    <r>
      <rPr>
        <sz val="10"/>
        <color rgb="FFFF0000"/>
        <rFont val="Times New Roman"/>
        <family val="1"/>
      </rPr>
      <t>This is a Restoration technology</t>
    </r>
    <r>
      <rPr>
        <sz val="10"/>
        <rFont val="Times New Roman"/>
        <family val="1"/>
      </rPr>
      <t>.</t>
    </r>
  </si>
  <si>
    <r>
      <t xml:space="preserve">Restoration of coastal habitats includes establishing and/or enhancing estuary salt marshes, eel grass beds, as well as shellfish and oyster beds together as an ecosystem. Habitat restoration should focus on creating or rehabilitating natural communities native to the area. The installation of riparian buffer zones and floating islands (next subheading) should be considered when restoring coastal habitats.  
</t>
    </r>
    <r>
      <rPr>
        <sz val="10"/>
        <color rgb="FFFF0000"/>
        <rFont val="Times New Roman"/>
        <family val="1"/>
      </rPr>
      <t>This is a Restoration technology.</t>
    </r>
  </si>
  <si>
    <r>
      <t xml:space="preserve">Re-engineering and reconstruction of bridge or culvert openings increases the tidal flux through the culvert or inlet.  Increasing the tidal flux will decrease the nitrogen residence time, lowering the nutrient concentration in the estuary and/or tidal marsh upstream of the widened inlet or culvert.
</t>
    </r>
    <r>
      <rPr>
        <sz val="10"/>
        <color rgb="FFFF0000"/>
        <rFont val="Times New Roman"/>
        <family val="1"/>
      </rPr>
      <t>This is a Restoration technology.</t>
    </r>
  </si>
  <si>
    <r>
      <t xml:space="preserve">Seaweed and other marine vegetation remove nitrogen from their environment. The cultivation and removal of the marine vegetation can remove nitrogen from an estuary, reducing the estuary's nitrogen load.  Mariculture can become a dual purpose project where seaweed can be harvested for market while there will be a local reduction in nitrogen in the overlying water column during the growth and maturation of the seaweed.  
This method of aquaculture cultivates marine vegetation such as seaweed to remove nitrogen.  Harvesting a portion of the vegetation may be required to remove nitrogen.  Mariculture can be used in combination with other types of aquaculture as well as floating constructed wetlands designed for brackish water.
</t>
    </r>
    <r>
      <rPr>
        <sz val="10"/>
        <color rgb="FFFF0000"/>
        <rFont val="Times New Roman"/>
        <family val="1"/>
      </rPr>
      <t>This is a water body Restoration technology.</t>
    </r>
  </si>
  <si>
    <r>
      <t xml:space="preserve">Hydroponic treatment and Photo Bioreactors (PBRs - Clears) are natural systems that treat septic tank effluent or primarily treated wastewater.  With Hydroponic Treatment, aeration and clarification chambers are combined with constructed wetlands to treat the influent.  The wetlands are a series of chambers allowing for microbial communities to engage with and treat the wastewater.  Plants are often suspended on racks with their root systems doing the work.  Solids removal is generally onsite, after which water is pumped through the gravel filled cells (similar to subsurface wetlands.)  This process transfers more oxygen to the wastewater and completes the pollutant removal process.  The wetland effluent can be discharged into a water body or used for open space irrigation after treatment.  The wetland effluent can also be discharged into a leach field or similar system for discharge to the groundwater.
This technology can also be used for wastewater treatment  with primary, secondary, or advanced effluent generally for flows less than 500,000 gpd.
</t>
    </r>
    <r>
      <rPr>
        <sz val="10"/>
        <color rgb="FFFF0000"/>
        <rFont val="Times New Roman"/>
        <family val="1"/>
      </rPr>
      <t>This is a source Reduction technology.</t>
    </r>
  </si>
  <si>
    <r>
      <t xml:space="preserve">Green plants with deep tap roots are planted as a buffer to intercept high nitrogen (nitrogen enriched) groundwater. The plants and microorganisms in their root zone reduce/use the nitrogen, removing it from the groundwater and watershed.  Phytoremediation can be used to redirect a plume of nitrogen enriched groundwater or pull it up from deeper in the aquifer, allowing the plants to treat the plume.  Ongoing, passive interception of the impacted ground water plume via shallow/deep interception of capillary fringe by roots occurs during the growing season and has seasonal limitations.
</t>
    </r>
    <r>
      <rPr>
        <sz val="10"/>
        <color rgb="FFFF0000"/>
        <rFont val="Times New Roman"/>
        <family val="1"/>
      </rPr>
      <t>This is a groundwater Remediation technology.</t>
    </r>
  </si>
  <si>
    <r>
      <t xml:space="preserve">Capturing nitrogen enriched groundwater using irrigation wells and using it to irrigate plants that use the nitrogen is called fertigation.  Fertigation wells can capture nutrient enriched groundwater, typically from a concentrated source such as a WWTF discharge, and recycle it back to irrigated and fertilized turf grass areas.  These irrigated areas include golf courses, athletic fields and lawns.  Fertigation can significantly reduce nutrient loads to down gradient surface waters while reducing fertilizer costs to the irrigated areas.
</t>
    </r>
    <r>
      <rPr>
        <sz val="10"/>
        <color rgb="FFFF0000"/>
        <rFont val="Times New Roman"/>
        <family val="1"/>
      </rPr>
      <t>This is a groundwater Remediation technology.</t>
    </r>
    <r>
      <rPr>
        <sz val="10"/>
        <rFont val="Times New Roman"/>
        <family val="1"/>
      </rPr>
      <t xml:space="preserve">
</t>
    </r>
  </si>
  <si>
    <r>
      <t xml:space="preserve">Capturing nitrogen enriched groundwater using irrigation wells and using it to irrigate plants that use the nitrogen is called fertigation.  Fertigation wells can capture nutrient enriched groundwater, typically from concentrated source such as a WWTF discharge, and recycle it back to irrigated crops such as cranberry bogs.  Fertigation can significantly reduce nutrient loads to down gradient surface waters while reducing fertilizer costs to the irrigated areas.
</t>
    </r>
    <r>
      <rPr>
        <sz val="10"/>
        <color rgb="FFFF0000"/>
        <rFont val="Times New Roman"/>
        <family val="1"/>
      </rPr>
      <t>This is a groundwater Remediation technology.</t>
    </r>
    <r>
      <rPr>
        <sz val="10"/>
        <rFont val="Times New Roman"/>
        <family val="1"/>
      </rPr>
      <t xml:space="preserve">
</t>
    </r>
  </si>
  <si>
    <r>
      <t xml:space="preserve">Non-Structural Stormwater strategies.  These strategies include street sweeping, maintenance of stormwater utilities, education and public outreach programs, land use planning, and IC reduction and control.
</t>
    </r>
    <r>
      <rPr>
        <sz val="10"/>
        <color rgb="FFFF0000"/>
        <rFont val="Times New Roman"/>
        <family val="1"/>
      </rPr>
      <t>This is a groundwater Remediation technology.</t>
    </r>
  </si>
  <si>
    <t>See Tab for Aquaculture Details
Wild oyster bed maintenance involves the establishment or restoration, and subsequent maintenance of shellfish beds. Shellfish are not harvested, and function in support and as part of a natural aquatic community.
This is a water body Restoration technology.</t>
  </si>
  <si>
    <r>
      <t xml:space="preserve">The circulation of pond and estuary water increases the oxygen concentration while reducing nutrients (nitrogen and/or phosphorus) concentrations, reducing odors, and enhancing fish habitat. The circulation is generally performed mechanically by installing solar or electric powered circulators.  
Pond and estuary circulators work by reducing stratification in ponds and estuaries. Anoxic conditions can occur within the lower stratified layers leading to harmful algae blooms, fish kills and odors. By mixing these stratified layers and increasing dissolved oxygen concentrations, circulators return the waterbody to a more natural hydrologic regime and help to preserve natural diversity.
</t>
    </r>
    <r>
      <rPr>
        <sz val="10"/>
        <color rgb="FFFF0000"/>
        <rFont val="Times New Roman"/>
        <family val="1"/>
      </rPr>
      <t>This is a water body Restoration technology.</t>
    </r>
  </si>
  <si>
    <r>
      <t xml:space="preserve">Surface Water Remediation Wetlands are constructed to aid in water quality improvements to surface water bodies, usually streams or rivers.  Water is pumped or allowed to flow naturally through treatment cells containing wetlands.  Surface water remediation wetlands are often used in combination with groundwater recharge or potable water reuse systems.  Surface water remediation wetlands are generally used with free water surface (FWS) wetlands due to their larger size, and lower capital and O&amp;M Costs.
</t>
    </r>
    <r>
      <rPr>
        <sz val="10"/>
        <color rgb="FFFF0000"/>
        <rFont val="Times New Roman"/>
        <family val="1"/>
      </rPr>
      <t>This is a water body Restoration technology</t>
    </r>
    <r>
      <rPr>
        <sz val="10"/>
        <rFont val="Times New Roman"/>
        <family val="1"/>
      </rPr>
      <t>.</t>
    </r>
  </si>
  <si>
    <r>
      <t xml:space="preserve">Lakes, ponds, streams and estuaries store nutrients within their sediments. These sediments tend to accumulate over time.  Subsequently, these nutrients can be released into the overlying water column and can become a major source of nitrogen and phosphorus.  Dredging and removing these sediments and accumulated nutrients removes the nutrients from the water body and potentially the watershed.  TN&gt;0.3 mg/L
</t>
    </r>
    <r>
      <rPr>
        <sz val="10"/>
        <color rgb="FFFF0000"/>
        <rFont val="Times New Roman"/>
        <family val="1"/>
      </rPr>
      <t>This is a water body Restoration technology.</t>
    </r>
  </si>
  <si>
    <r>
      <t xml:space="preserve">After  collecting groundwater with higher nitrogen concentrations, groundwater is treated by pumping water slowly through subsurface gravel beds where it is filtered through plant root zones and soil media.  Water flows 3" to 8" under the surface to prevent public exposure to wastewater and mosquito breeding.  A combination of horizontal and vertical flow subsurface systems must be utilized to provide total nitrogen removal.  These systems occasionally use additional treatment steps to remove nutrients from wastewater.  The preferred disposal method is an infiltrator chamber system similar to a leach field but larger in size and designed for overflows.  
The reclaimed water is generally discharged into a leach field or similar system for discharge to the groundwater. The reclaimed water can also  be discharged into a water body or used for open space irrigation after treatment.  However,  more strict permitting and water quality standards must be met if not discharging to groundwater.
</t>
    </r>
    <r>
      <rPr>
        <sz val="10"/>
        <color rgb="FFFF0000"/>
        <rFont val="Times New Roman"/>
        <family val="1"/>
      </rPr>
      <t>This is a groundwater Remediation technology.</t>
    </r>
  </si>
  <si>
    <t>Findings from Pilot Studies (see also 208 Project Viewer)</t>
  </si>
  <si>
    <t>208 Project Viewer</t>
  </si>
  <si>
    <t>Status of Piloting and DEP Approval</t>
  </si>
  <si>
    <t>IP</t>
  </si>
  <si>
    <t>AP</t>
  </si>
  <si>
    <t xml:space="preserve">There were two primary goals in this revision of the Technologies Matrix; simplify the data presented and update the matrix where new data is available. </t>
  </si>
  <si>
    <r>
      <t xml:space="preserve">A column was added to track </t>
    </r>
    <r>
      <rPr>
        <b/>
        <sz val="11"/>
        <rFont val="Calibri"/>
        <family val="2"/>
      </rPr>
      <t>findings from pilot studies</t>
    </r>
    <r>
      <rPr>
        <sz val="11"/>
        <rFont val="Calibri"/>
        <family val="2"/>
      </rPr>
      <t xml:space="preserve">, as data becomes available. A column was added to provide a </t>
    </r>
    <r>
      <rPr>
        <b/>
        <sz val="11"/>
        <rFont val="Calibri"/>
        <family val="2"/>
      </rPr>
      <t>status</t>
    </r>
    <r>
      <rPr>
        <sz val="11"/>
        <rFont val="Calibri"/>
        <family val="2"/>
      </rPr>
      <t xml:space="preserve"> on the technology's readiness for implementation, ranked according to whether it has been approved by DEP (A), has completed advance piloting (AP), is in initial piloting (IP), or is not approvable (NA).</t>
    </r>
  </si>
  <si>
    <t xml:space="preserve">Permeable Reactive Barriers (PRBs) - Injection Well Method
</t>
  </si>
  <si>
    <t>Pilot study at Orleans Middle School, lessons: 
Important to invest in assessment of site to characterize groundwater flow and other characteristics
Consider phasing of implementation until performance, function are understood
monitoring tools needed to accurately assess performance of pilot
See also Siting Criteria (column J) for lessons from EPA Cape Cod PRB Screening assessment</t>
  </si>
  <si>
    <t>A - Approved
AP - Advanced Pilot
IP - Initial Pilot
NA - Not Approvable</t>
  </si>
  <si>
    <t>Aquaculture - Shellfish, Nursery Culture</t>
  </si>
  <si>
    <t>Aquaculture - Shellfish</t>
  </si>
  <si>
    <t>● Low cost per pound of nitrogen removed.
● Potential positive economic impacts.
● One of few approaches to effectively sink natural nitrogen sources.
● Can help manage clean water of silt.
● Can improve water quality parameters in addition to nitrogen.
● Increases biodiversity and supports plant life survivability for eel grass and other species.
● Increases critical commercial and recreational fish populations.
● Economic benefits (commercial shellfish harvesting).</t>
  </si>
  <si>
    <t>● Low cost per pound of nitrogen removed.
● Potential positive economic impacts
● One of few approaches to effectively sink natural nitrogen sources
● can help clean water of silt
● Can improve water quality parameters in addition to nitrogen
● Increases biodiversity and supports plant life survivability for eel grass and other species
● Increases critical commercial and recreational fish populations
● Economic benefits</t>
  </si>
  <si>
    <t>Reitsma, J. et al. 2017 "Nitrogen extraction potential of wild and cultured bivalves harvested from nearshore waters of Cape Cod, USA. Elsevier Vol 116, Issues 1-2, pp. 175-181. http://www.sciencedirect.com/science/article/pii/S0025326X16310761?via%3Dihub</t>
  </si>
  <si>
    <t>Active Reference Links</t>
  </si>
  <si>
    <t>LINKS: Constructed Wetlands - Surface Flow</t>
  </si>
  <si>
    <r>
      <t xml:space="preserve">(1) Average Removal Rate (P 419) and Median Total Nitrogen Removal Rate (P 308), Median Phosphorus Removal Rate (P 378) from Kadlec and Wallace, Treatment Wetlands 2nd Ed., LINK: </t>
    </r>
    <r>
      <rPr>
        <u/>
        <sz val="12"/>
        <rFont val="Times New Roman"/>
        <family val="1"/>
      </rPr>
      <t xml:space="preserve">https://www.sswm.info/sites/default/files/reference_attachments/KADLEC%20WALLACE%202009%20Treatment%20Wetlands%202nd%20Edition_0.pdf </t>
    </r>
    <r>
      <rPr>
        <sz val="12"/>
        <rFont val="Times New Roman"/>
        <family val="1"/>
      </rPr>
      <t xml:space="preserve">
(2) Range of wetland costs  (P 132-133) and Wastewater effluent concentrations (converted to lbs/gal) data taken from Table 3-1  from Constructed Wetlands Treatment of Municipal Wastewaters. EPA.1999, LINK: </t>
    </r>
    <r>
      <rPr>
        <u/>
        <sz val="12"/>
        <rFont val="Times New Roman"/>
        <family val="1"/>
      </rPr>
      <t>http://water.epa.gov/type/wetlands/restore/upload/constructed-wetlands-design-manual.pdf</t>
    </r>
    <r>
      <rPr>
        <sz val="12"/>
        <rFont val="Times New Roman"/>
        <family val="1"/>
      </rPr>
      <t xml:space="preserve">
(3) Range of O&amp;M values from Jim Kreissl, Constructed Wetlands Treatment for Nutrient Treatment for Nutrient Reduction, Presentation at POTW Nutrient Reduction and Efficiency Workshop, 2008. LINK: </t>
    </r>
    <r>
      <rPr>
        <u/>
        <sz val="12"/>
        <rFont val="Times New Roman"/>
        <family val="1"/>
      </rPr>
      <t>http://www.tetratech-ffx.com/potwconf/pdf/112008_1200_Kreissl.pdf</t>
    </r>
    <r>
      <rPr>
        <sz val="12"/>
        <rFont val="Times New Roman"/>
        <family val="1"/>
      </rPr>
      <t xml:space="preserve">
(4) Average Gal./day/acre derived from Table 2. Ogden, Michael.  Costs of Constructed Wetland Systems.  Prepublication copy for presentation at WEFTEC '98, 1998. LINK: </t>
    </r>
    <r>
      <rPr>
        <u/>
        <sz val="12"/>
        <rFont val="Times New Roman"/>
        <family val="1"/>
      </rPr>
      <t xml:space="preserve">http://www.brownandcaldwell.com/technicalPapersAbstract.asp?TPID=5720 </t>
    </r>
    <r>
      <rPr>
        <sz val="12"/>
        <rFont val="Times New Roman"/>
        <family val="1"/>
      </rPr>
      <t xml:space="preserve">
(5) Flow range of 5 precedents evaluated by Offshoots, Inc., June 2013.
(6) 1 acre of FWS CTW at 330 gpd = 45-70 homes/acre for Total Nitrogen.  Assumptions : Q = 330 gpd (1.25 m3/d); Ci = 20 mg/l (Total N); Ce = 5 mg/l (Total N); k (areal rate constant) = 10-20 m/yr., C* = 1.5 mg/l (background value). Equates to 0.010 to 0.020 acres/330 gpd.
(7) Influent Concentrations: (a) For Primary WWTF Effluent assume:  (N) =.0004lbs/gal (52.5mg/l), (P)=7.92 × 10-5  lbs/gal (9.5mg/l), and (b) For Secondary WWTF effluent assume: (N)=.0001 lbs/gal (15mg/l), and (P)=2.92 × 10-5  lbs/gal (3.5mg/l).
(8)  Improving Winter Performance of Constructed Wetlands for Wastewater Treatment in Northern China: A Review, LINK: </t>
    </r>
    <r>
      <rPr>
        <u/>
        <sz val="12"/>
        <rFont val="Times New Roman"/>
        <family val="1"/>
      </rPr>
      <t xml:space="preserve">http://link.springer.com/article/10.1007%2Fs13157-013-0444-7# </t>
    </r>
    <r>
      <rPr>
        <sz val="12"/>
        <rFont val="Times New Roman"/>
        <family val="1"/>
      </rPr>
      <t xml:space="preserve">
(9) USEPA Wetlands Subsurface Flow Fact Sheet, LINK: </t>
    </r>
    <r>
      <rPr>
        <u/>
        <sz val="12"/>
        <rFont val="Times New Roman"/>
        <family val="1"/>
      </rPr>
      <t>https://19january2017snapshot.epa.gov/sites/production/files/2015-06/documents/wetlands-subsurface_flow.pdf</t>
    </r>
    <r>
      <rPr>
        <sz val="12"/>
        <rFont val="Times New Roman"/>
        <family val="1"/>
      </rPr>
      <t xml:space="preserve">
(10)  Without the use of water aeration such as Solar Bees, Free Water Surface systems will not typically meet discharge limits for BOD and TSS .  However, water aeration augments protozoan, invertebrate, and fish populations which harvest large amounts of algae. estimates/acre.
*Systems not designed to remove phosphorus.  Phosphorus removal in these smaller systems requires lengthy retention times and/or use of specialized media to increase sorption    
**Based on 44,000GPD / 2.08 acre total treatment area for Fields of St Croix constructed wetland system in Lake Elmo, MN 
(11) (11) Calculation Basis for Calculator  - For No Collection System - (a) Need to add effluent disposal costs; (b) Use pricing for infiltration basins ($3 to $5/sqft).  Average $4/sqft; (c) Metric is gpd; (d) Assumed flow for infiltration basin is approximately 4 gpd/sqft (fine to course sandy soils); and (e) Modify construction costs by adding the following  - input flow (gpd) divided by 4 gpd/sqft times $4/sqft.
(12) Calculation Basis for Calculator  - For  Collection System, Treatment and Disposal - (a) Need to add collection, system treatment and effluent disposal costs; (b) Use pricing for infiltration basins ($3 to $5/sqft).  Average $4/sqft; (c) Metric is gpd; (d) Assumed flow for infiltration basin is approximately 4 gpd/sqft (fine to course sandy soils); (e) Modify construction costs by adding the following  - input flow (gpd) divided by 4 gpd/sqft times $4/sqft (f) • Use pricing for collection system from matrix ($3 to $5/sqft).  Average $4/sqft (g) Need equation for size (cost) of collection system based on metric of gpd.  Alternative is to use costs from MVP after targeting area to sewer; and (h) Need costs or cost curve to size and cost a primary WWTF.  Alternative is to use costs from MVP after targeting area to sewer.
</t>
    </r>
  </si>
  <si>
    <t>LINKS: Constructed Wetlands - Subsurface Flow</t>
  </si>
  <si>
    <r>
      <t xml:space="preserve">(1).Average Removal Efficiency (P 417) and Median Total Nitrogen Removal Rate (P 309) from Kadlec and Wallace.  Treatment Wetlands, 2nd Ed., LINK: </t>
    </r>
    <r>
      <rPr>
        <u/>
        <sz val="12"/>
        <rFont val="Times New Roman"/>
        <family val="1"/>
      </rPr>
      <t>https://www.sswm.info/sites/default/files/reference_attachments/KADLEC%20WALLACE%202009%20Treatment%20Wetlands%202nd%20Edition_0.pdf</t>
    </r>
    <r>
      <rPr>
        <sz val="12"/>
        <rFont val="Times New Roman"/>
        <family val="1"/>
      </rPr>
      <t xml:space="preserve"> 
(2) Range of  cost and  O&amp;M values adjusted for inflation from Jim Kreissl, Constructed Wetlands Treatment for Nutrient Treatment for Nutrient Reduction, Presentation at POTW Nutrient Reduction and Efficiency Workshop, 2008. LINK: </t>
    </r>
    <r>
      <rPr>
        <u/>
        <sz val="12"/>
        <rFont val="Times New Roman"/>
        <family val="1"/>
      </rPr>
      <t>http://www.tetratech-ffx.com/potwconf/pdf/112008_1200_Kreissl.pdf</t>
    </r>
    <r>
      <rPr>
        <sz val="12"/>
        <rFont val="Times New Roman"/>
        <family val="1"/>
      </rPr>
      <t xml:space="preserve">
(3) Average Removal Rate from Vymazal Jan.  Removal of Phosphorus in Constructed Wetlands with Horizontal Sub-Surface Flow in the Czech Republic. Water, Air and Soil Pollution: Focus.  June 2004, Volume 4, Issue 2-3, pp. 657-670. LINK: </t>
    </r>
    <r>
      <rPr>
        <u/>
        <sz val="12"/>
        <rFont val="Times New Roman"/>
        <family val="1"/>
      </rPr>
      <t>https://link.springer.com/article/10.1023/B:WAFO.0000028385.63075.51</t>
    </r>
    <r>
      <rPr>
        <sz val="12"/>
        <rFont val="Times New Roman"/>
        <family val="1"/>
      </rPr>
      <t xml:space="preserve">
(4) Gal./day/acre Value averaged from Table 6. Ogden, Michael.  Costs of Constructed Wetland Systems.  Prepublication copy for presentation at WEFTEC '98, 1998. LINK: </t>
    </r>
    <r>
      <rPr>
        <u/>
        <sz val="12"/>
        <rFont val="Times New Roman"/>
        <family val="1"/>
      </rPr>
      <t>http://www.brownandcaldwell.com/technicalPapersAbstract.asp?TPID=5720</t>
    </r>
    <r>
      <rPr>
        <sz val="12"/>
        <rFont val="Times New Roman"/>
        <family val="1"/>
      </rPr>
      <t xml:space="preserve"> 
(5) Data on Phosphorus removal from Subsurface flow wetlands is highly varied and dependent on retention time and media used.  This value is calculated at 50% of the  phosphorus removal rate of a FWS constructed wetland system.
(6) 1 acre of  SSF CTW will treat 50-75 homes/acre Total Nitrogen at 330 gpd. Assumptions: Q= 330 gpd (1.25 mg/l); Ci = 20 mg/l; Ce = 5 mg/l (TN), k (areal removal rate constant): 4-15 m/yr. C* = 0 mg/l (background).  Equates to 0.015 to 0.025 acres/330 gpd.
(7) USEPA Wetlands Subsurface Flow Fact Sheet, LINK: </t>
    </r>
    <r>
      <rPr>
        <u/>
        <sz val="12"/>
        <rFont val="Times New Roman"/>
        <family val="1"/>
      </rPr>
      <t>https://19january2017snapshot.epa.gov/sites/production/files/2015-06/documents/wetlands-subsurface_flow.pdf</t>
    </r>
  </si>
  <si>
    <t>LINKS: Constructed Wetlands - Groundwater Treatment</t>
  </si>
  <si>
    <r>
      <t xml:space="preserve">(1) Removal efficiency based on Fields of St. Croix constructed wetland project.  Data provided by Bruce Douglas of Natural Systems Utilities. 2012. Interview.
(2) Median Total Nitrogen Removal Rate from Kadlec and Wallace.  Treatment Wetlands 2nd Ed. (p 309). LINK: </t>
    </r>
    <r>
      <rPr>
        <u/>
        <sz val="12"/>
        <rFont val="Times New Roman"/>
        <family val="1"/>
      </rPr>
      <t>https://www.sswm.info/sites/default/files/reference_attachments/KADLEC%20WALLACE%202009%20Treatment%20Wetlands%202nd%20Edition_0.pdf</t>
    </r>
    <r>
      <rPr>
        <sz val="12"/>
        <rFont val="Times New Roman"/>
        <family val="1"/>
      </rPr>
      <t xml:space="preserve"> 
(3) Capital costs of Fields of St. Croix constructed wetlands system derived by multiplying number of homes connected to system (133) by capital cost per connection ($5524) to derive total capital cost (731,159).  This number was then divided by the total treatment area of the project (2.08 acres) to give $351,519/acre which was adjusted for inflation.  Data derived from Table 2.  Costs for Cluster Wastewater Systems.  Scott. D Wallace and Dennis F. Hallahan.  Proceedings of the 2005 National Onsite Wastewater Recycling Assoc. National Conference.
(4) O&amp;M costs derived by multiplying monthly service charge per connection by total number of connections for the Fields of St. Croix project.  The result was then divided by the total treatment area of the project  (2.08 acres).   Table 3.  Costs for Cluster Wastewater Systems.  Scott. D Wallace and Dennis F. Hallahan.  Proceedings of the 2005 National Onsite Wastewater Recycling Assoc. National Conference.
(5) Wastewater effluent concentrations converted to lbs/gal.  Data taken from Table 3-1.  Constructed Wetlands Treatment of Municipal Wastewaters.  EPA. 1999.
(6) Costs per connection were extrapolated based on total number of connections to derive capital cost.  Capital costs were then divided by design flow (GPD) for each project to derive $/Gal.  Data from Tables 2 and 3.  Costs for Cluster Wastewater Systems.  Scott. D Wallace and Dennis F. Hallahan.  Proceedings of the 2005 National Onsite Wastewater Recycling Assoc. National Conference.
(7) Monthly service charge costs were multiplied by number of homes connected to system and then by 12 to determine yearly service charge.  This product was then divided by design flow to derive $/gal/yr.  However, this is the cost to users, not necessarily the O&amp;M cost, cause it includes $ paid by users for future necessary replacements.  Data from Tables 2, 3 and 4.  Costs for Cluster Wastewater Systems.  Scott. D Wallace and Dennis F. Hallahan.  Proceedings of the 2005 National Onsite Wastewater Recycling Assoc. National Conference.
(8) Flow range of 3 precedents evaluated by Offshoots, Inc., June 2013.
(9) 1 acre of  SSF CTW will treat 50-75 homes/acre Total Nitrogen at 330 gpd. Assumptions: Q= 330 gpd (1.25 mg/l); Ci = 20 mg/l; Ce = 5 mg/l (TN), k (areal removal rate constant): 4-15 m/yr. C* = 0 mg/l (background).  Equates to 0.015 to 0.025 acres/330 gpd.
(10) USEPA Wetlands Subsurface Flow Fact Sheet, LINK: </t>
    </r>
    <r>
      <rPr>
        <u/>
        <sz val="12"/>
        <rFont val="Times New Roman"/>
        <family val="1"/>
      </rPr>
      <t>https://19january2017snapshot.epa.gov/sites/production/files/2015-06/documents/wetlands-subsurface_flow.pdf</t>
    </r>
  </si>
  <si>
    <t>LINKS: Hydroponic Treatment</t>
  </si>
  <si>
    <r>
      <t xml:space="preserve">(1) Range of summary denitrification numbers provided by John Todd Ecological Design. LINK: </t>
    </r>
    <r>
      <rPr>
        <u/>
        <sz val="12"/>
        <rFont val="Times New Roman"/>
        <family val="1"/>
      </rPr>
      <t>http://www.toddecological.com/index.php?id=projects</t>
    </r>
    <r>
      <rPr>
        <sz val="12"/>
        <rFont val="Times New Roman"/>
        <family val="1"/>
      </rPr>
      <t xml:space="preserve">
(2) Cost/gallon averaged from 3 living machine projects.  EPA.  Wastewater Technology Fact Sheet: Living Machines. 2002, LINK: </t>
    </r>
    <r>
      <rPr>
        <u/>
        <sz val="12"/>
        <rFont val="Times New Roman"/>
        <family val="1"/>
      </rPr>
      <t>https://19january2017snapshot.epa.gov/www3/npdes/www3/pubs/living_machine.pdf</t>
    </r>
    <r>
      <rPr>
        <sz val="12"/>
        <rFont val="Times New Roman"/>
        <family val="1"/>
      </rPr>
      <t xml:space="preserve">
(3) Averaged mass reduction based on Nitrogen influent-effluent numbers provided for 4 Eco-machine projects and 890,000 gal/27,000 sq. ft. facility size provided by Todd Ecological Design.
(4) Data based on 890,000 gal/day facility requiring 27,000 sq.ft (0.61 acres) by John Todd Ecological Design.
(5) Data derived from South Burlington Living machine data only - 80,000 gpd system removed 5548 lbs of nitrogen/day at a capital cost of $1.7 million dollars, 0.14 acre site cost  $70,625 to run annually, $70,625 annual O&amp;M cost / 5,548 lbs of N removed / year, LINK: </t>
    </r>
    <r>
      <rPr>
        <u/>
        <sz val="12"/>
        <rFont val="Times New Roman"/>
        <family val="1"/>
      </rPr>
      <t>http://www.toddecological.com/data/uploads/casestudies/jtedcasestudy_southburlington.pdf</t>
    </r>
    <r>
      <rPr>
        <sz val="12"/>
        <rFont val="Times New Roman"/>
        <family val="1"/>
      </rPr>
      <t xml:space="preserve">
(6) From Eco-Cities to Living Machines: Principles of Ecological Design, 1994, ISBN Paperback 9781556431500, LINK: </t>
    </r>
    <r>
      <rPr>
        <u/>
        <sz val="12"/>
        <rFont val="Times New Roman"/>
        <family val="1"/>
      </rPr>
      <t>https://www.northatlanticbooks.com/shop/from-eco-cities-to-living-machines/</t>
    </r>
  </si>
  <si>
    <t>LINKS: Phytoirrigation</t>
  </si>
  <si>
    <r>
      <t>(1) CH</t>
    </r>
    <r>
      <rPr>
        <vertAlign val="subscript"/>
        <sz val="12"/>
        <rFont val="Times New Roman"/>
        <family val="1"/>
      </rPr>
      <t>2</t>
    </r>
    <r>
      <rPr>
        <sz val="12"/>
        <rFont val="Times New Roman"/>
        <family val="1"/>
      </rPr>
      <t>HMill, 2012, J. Smeasrod Interview, Offshoots, Inc. Precedent Study- 3 projects.
(2) Nitrogen concentrations in groundwater are difficult to test.  This is the minimum standard that is know to be removed, but the numbers are likely much higher.
(3) Cost per acre can be as low as 5,000 when small cuttings and no irrigation is used.</t>
    </r>
  </si>
  <si>
    <t>LINKS: Aquaculture - Shellfish</t>
  </si>
  <si>
    <r>
      <t xml:space="preserve">(1) Carmichael, R.H. and W. Walton, H. Clark, June 2012, Bivalve Enhanced Nitrogen Removal From Coastal Estuaries, LINK: </t>
    </r>
    <r>
      <rPr>
        <u/>
        <sz val="12"/>
        <rFont val="Times New Roman"/>
        <family val="1"/>
      </rPr>
      <t>http://www.auburn.edu/~wcw0003/products/publications/carmichael-rh-w-walton--h.html</t>
    </r>
    <r>
      <rPr>
        <sz val="12"/>
        <rFont val="Times New Roman"/>
        <family val="1"/>
      </rPr>
      <t xml:space="preserve">
(2) The Nature Conservancy: Oyster Reef Building and Restoration for Coastal Protection, LINK: </t>
    </r>
    <r>
      <rPr>
        <u/>
        <sz val="12"/>
        <rFont val="Times New Roman"/>
        <family val="1"/>
      </rPr>
      <t>https://www.nature.org/ourinitiatives/regions/northamerica/unitedstates/louisiana/oyster-reef-restoration-in-louisiana.xml</t>
    </r>
    <r>
      <rPr>
        <sz val="12"/>
        <rFont val="Times New Roman"/>
        <family val="1"/>
      </rPr>
      <t xml:space="preserve">
(3) Assessment of Oyster Reefs in Lynnhaven River as a Chesapeake Bay TMDL Best Management Practice, MacSisson, Lisa Kellogg, Mark Luckenbach, Rom Lipcius, Allison Colden, Jeff Cornwell, and Michael Owens Final Report to the U. S. Army Corps of Engineers, Norfolk District, LINK: </t>
    </r>
    <r>
      <rPr>
        <u/>
        <sz val="12"/>
        <rFont val="Times New Roman"/>
        <family val="1"/>
      </rPr>
      <t>http://web.vims.edu/GreyLit/VIMS/sramsoe429.pdf</t>
    </r>
    <r>
      <rPr>
        <sz val="12"/>
        <rFont val="Times New Roman"/>
        <family val="1"/>
      </rPr>
      <t xml:space="preserve">
(4) Various studies have quantified removal rates, though there is variation depending on shellfish type and environmental conditions.
(5) Assessment of Oyster Reefs in Lynnhaven River as a Chesapeake Bay TMDL Best Management Practice, MacSisson, Lisa Kellogg, Mark Luckenbach, Rom Lipcius, Allison Colden, Jeff Cornwell, and Michael Owens Final Report to the U. S. Army Corps of Engineers, Norfolk District, LINK: </t>
    </r>
    <r>
      <rPr>
        <u/>
        <sz val="12"/>
        <rFont val="Times New Roman"/>
        <family val="1"/>
      </rPr>
      <t>http://web.vims.edu/GreyLit/VIMS/sramsoe429.pdf</t>
    </r>
    <r>
      <rPr>
        <sz val="12"/>
        <rFont val="Times New Roman"/>
        <family val="1"/>
      </rPr>
      <t xml:space="preserve">
(6) Estuarine Fish and Shellfish Species in U.S. Commercial and Recreational Fisheries: Economic Value as an Incentive to Protect and Restore Estuarine Habitat, K. A. Lellis-Dibble, K. E. McGlynn, and T. E. Bigford
November 2008, LINK: </t>
    </r>
    <r>
      <rPr>
        <u/>
        <sz val="12"/>
        <rFont val="Times New Roman"/>
        <family val="1"/>
      </rPr>
      <t>http://www.habitat.noaa.gov/pdf/publications_general_estuarinefishshellfish.pdf</t>
    </r>
    <r>
      <rPr>
        <sz val="12"/>
        <rFont val="Times New Roman"/>
        <family val="1"/>
      </rPr>
      <t xml:space="preserve">
(7) Bay Area Monitor, Scientists Set Seashells by the Seashore, Aleta George, October 1, 2013, LINK: </t>
    </r>
    <r>
      <rPr>
        <u/>
        <sz val="12"/>
        <rFont val="Times New Roman"/>
        <family val="1"/>
      </rPr>
      <t>http://bayplanningcoalition.org/wp-content/uploads/2013/10/Bay-Area-Monitor-Seashells-by-the-Seashore.pdf</t>
    </r>
    <r>
      <rPr>
        <sz val="12"/>
        <rFont val="Times New Roman"/>
        <family val="1"/>
      </rPr>
      <t xml:space="preserve">
(8) Range of 250 to 1,000 Kg of N per acre based ongoing pilot studies in Falmouth, MA and Wellfleet, MA.  Analysis uses a conservative value of 250 Kg of N per acre.
(9) Kellogg, Lisa, Virginia Inset of Marine Science, Denitrification and Nutrient Assimilation on a Restored Oyster Reef, May 2013, LINK: </t>
    </r>
    <r>
      <rPr>
        <u/>
        <sz val="12"/>
        <rFont val="Times New Roman"/>
        <family val="1"/>
      </rPr>
      <t>http://www.int-res.com/abstracts/meps/v480/p1-19/</t>
    </r>
    <r>
      <rPr>
        <sz val="12"/>
        <rFont val="Times New Roman"/>
        <family val="1"/>
      </rPr>
      <t xml:space="preserve">
(10) Rice, Michael A,, Et. Al.,  Changes in Shell and Soft Tissue Growth, Tissue Compositions of Quahogs and Soft-Shelled Clams in Response to Eutrophic Driven Changes in Food supply and Habitat. Boston University, Journal of Experimental Marine Biology and Ecology. August 2004, 
(11) STAC Report, Evaluation of the Use of Shellfish as a Means of Nutrient Reduction in the Chesapeake Bay, September, 3013d
(12) Circle C Oyster Ranchers Association: </t>
    </r>
    <r>
      <rPr>
        <u/>
        <sz val="12"/>
        <rFont val="Times New Roman"/>
        <family val="1"/>
      </rPr>
      <t>http://www.oysterranching.com/background.html</t>
    </r>
    <r>
      <rPr>
        <sz val="12"/>
        <rFont val="Times New Roman"/>
        <family val="1"/>
      </rPr>
      <t xml:space="preserve">
(13) Food and Agricultural Organization of the United States: Hatchery Culture of Bivalves - Fisheries Technical Paper 471, LINK: </t>
    </r>
    <r>
      <rPr>
        <u/>
        <sz val="12"/>
        <rFont val="Times New Roman"/>
        <family val="1"/>
      </rPr>
      <t>http://www.fao.org/docrep/007/y5720e/y5720e02.htm</t>
    </r>
    <r>
      <rPr>
        <sz val="12"/>
        <rFont val="Times New Roman"/>
        <family val="1"/>
      </rPr>
      <t xml:space="preserve">
</t>
    </r>
  </si>
  <si>
    <t>LINKS: Aquaculture - Shellfish, Nursery Culture</t>
  </si>
  <si>
    <t xml:space="preserve">(1) Carmichael, R.H. and W. Walton, H. Clark, June 2012, Bivalve Enhanced Nitrogen Removal From Coastal Estuaries, LINK: http://www.auburn.edu/~wcw0003/products/publications/carmichael-rh-w-walton--h.html
(2) The Nature Conservancy: Oyster Reef Building and Restoration for Coastal Protection, LINK: https://www.nature.org/ourinitiatives/regions/northamerica/unitedstates/louisiana/oyster-reef-restoration-in-louisiana.xml
(3) Assessment of Oyster Reefs in Lynnhaven River as a Chesapeake Bay TMDL Best Management Practice, MacSisson, Lisa Kellogg, Mark Luckenbach, Rom Lipcius, Allison Colden, Jeff Cornwell, and Michael Owens Final Report to the U. S. Army Corps of Engineers, Norfolk District, LINK: http://web.vims.edu/GreyLit/VIMS/sramsoe429.pdf
(4) Various studies have quantified removal rates, though there is variation depending on shellfish type and environmental conditions.
(5) Assessment of Oyster Reefs in Lynnhaven River as a Chesapeake Bay TMDL Best Management Practice, MacSisson, Lisa Kellogg, Mark Luckenbach, Rom Lipcius, Allison Colden, Jeff Cornwell, and Michael Owens Final Report to the U. S. Army Corps of Engineers, Norfolk District, LINK: http://web.vims.edu/GreyLit/VIMS/sramsoe429.pdf
(6) Estuarine Fish and Shellfish Species in U.S. Commercial and Recreational Fisheries: Economic Value as an Incentive to Protect and Restore Estuarine Habitat, K. A. Lellis-Dibble, K. E. McGlynn, and T. E. Bigford
November 2008, LINK: http://www.habitat.noaa.gov/pdf/publications_general_estuarinefishshellfish.pdf
(7) Bay Area Monitor, Scientists Set Seashells by the Seashore, Aleta George, October 1, 2013, LINK: http://bayplanningcoalition.org/wp-content/uploads/2013/10/Bay-Area-Monitor-Seashells-by-the-Seashore.pdf
(8) Range of 250 to 1,000 Kg of N per acre based ongoing pilot studies in Falmouth, MA and Wellfleet, MA.  Analysis uses a conservative value of 250 Kg of N per acre.
(9) Kellogg, Lisa, Virginia Inset of Marine Science, Denitrification and Nutrient Assimilation on a Restored Oyster Reef, May 2013, LINK: http://www.int-res.com/abstracts/meps/v480/p1-19/
(10) Rice, Michael A,, Et. Al.,  Changes in Shell and Soft Tissue Growth, Tissue Compositions of Quahogs and Soft-Shelled Clams in Response to Eutrophic Driven Changes in Food supply and Habitat. Boston University, Journal of Experimental Marine Biology and Ecology. August 2004, 
(11) STAC Report, Evaluation of the Use of Shellfish as a Means of Nutrient Reduction in the Chesapeake Bay, September, 3013d
(12) Circle C Oyster Ranchers Association: http://www.oysterranching.com/background.html
(13) Food and Agricultural Organization of the United States: Hatchery Culture of Bivalves - Fisheries Technical Paper 471, LINK: http://www.fao.org/docrep/007/y5720e/y5720e02.htm
(14) Rose et al. 2014 Nutrient Bioextraction: Encyclopedia of Sustainability Science and Technology, DOI 10.1007/978-1-4939-2493-6_944-1, LINK: https://www.researchgate.net/publication/292490045_Nutrient_Bioextraction
(15) Kim et al. 2015 
(16) Reitsma, J. et al. 2017 "Nitrogen extraction potential of wild and cultured bivalves harvested from nearshore waters of Cape Cod, USA. Elsevier Vol 116, Issues 1-2, pp. 175-181. http://www.sciencedirect.com/science/article/pii/S0025326X16310761?via%3Dihub
</t>
  </si>
  <si>
    <t>LINKS: Aquaculture - Mariculture</t>
  </si>
  <si>
    <t>LINKS: Phytoremediation</t>
  </si>
  <si>
    <t>(1) Carmichael, R.H. and W. Walton, H. Clark, June 2012, Bivalve Enhanced Nitrogen Removal From Coastal Estuaries, LINK: http://www.auburn.edu/~wcw0003/products/publications/carmichael-rh-w-walton--h.html
(2) The Nature Conservancy: Oyster Reef Building and Restoration for Coastal Protection, LINK: https://www.nature.org/ourinitiatives/regions/northamerica/unitedstates/louisiana/oyster-reef-restoration-in-louisiana.xml
(3) Assessment of Oyster Reefs in Lynnhaven River as a Chesapeake Bay TMDL Best Management Practice, MacSisson, Lisa Kellogg, Mark Luckenbach, Rom Lipcius, Allison Colden, Jeff Cornwell, and Michael Owens Final Report to the U. S. Army Corps of Engineers, Norfolk District, LINK: http://web.vims.edu/GreyLit/VIMS/sramsoe429.pdf
(4) Various studies have quantified removal rates, though there is variation depending on shellfish type and environmental conditions.
(5) Assessment of Oyster Reefs in Lynnhaven River as a Chesapeake Bay TMDL Best Management Practice, MacSisson, Lisa Kellogg, Mark Luckenbach, Rom Lipcius, Allison Colden, Jeff Cornwell, and Michael Owens Final Report to the U. S. Army Corps of Engineers, Norfolk District, LINK: http://web.vims.edu/GreyLit/VIMS/sramsoe429.pdf
(6) Estuarine Fish and Shellfish Species in U.S. Commercial and Recreational Fisheries: Economic Value as an Incentive to Protect and Restore Estuarine Habitat, K. A. Lellis-Dibble, K. E. McGlynn, and T. E. Bigford
November 2008, LINK: http://www.habitat.noaa.gov/pdf/publications_general_estuarinefishshellfish.pdf
(7) Bay Area Monitor, Scientists Set Seashells by the Seashore, Aleta George, October 1, 2013, LINK: http://bayplanningcoalition.org/wp-content/uploads/2013/10/Bay-Area-Monitor-Seashells-by-the-Seashore.pdf
(8) Range of 250 to 1,000 Kg of N per acre based ongoing pilot studies in Falmouth, MA and Wellfleet, MA.  Analysis uses a conservative value of 250 Kg of N per acre.
(9) Kellogg, Lisa, Virginia Inset of Marine Science, Denitrification and Nutrient Assimilation on a Restored Oyster Reef, May 2013, LINK: http://www.int-res.com/abstracts/meps/v480/p1-19/
(10) Rice, Michael A,, Et. Al.,  Changes in Shell and Soft Tissue Growth, Tissue Compositions of Quahogs and Soft-Shelled Clams in Response to Eutrophic Driven Changes in Food supply and Habitat. Boston University, Journal of Experimental Marine Biology and Ecology. August 2004, 
(11) STAC Report, Evaluation of the Use of Shellfish as a Means of Nutrient Reduction in the Chesapeake Bay, September, 3013d
(12) Circle C Oyster Ranchers Association: http://www.oysterranching.com/background.html
(13) Food and Agricultural Organization of the United States: Hatchery Culture of Bivalves - Fisheries Technical Paper 471, LINK: http://www.fao.org/docrep/007/y5720e/y5720e02.htm</t>
  </si>
  <si>
    <t>LINKS: Permeable Reactive Barriers (PRBs) - Trench Method
(Aquifer Thickness - 
30 feet)</t>
  </si>
  <si>
    <t xml:space="preserve">(1) Sand Creek Consultants, 2012, Chris Rog Interview- Offshoots, Inc. precedent study - 4 projects, LINK: http://sand-creek.com/     
(2) Nitrogen concentrations in groundwater are difficult to test.  This is the minimum standard that is know to be removed, but the numbers are likely much higher.
(3) Cost per acre can be as low as 5,000 when small cuttings and no irrigation is used.  Best if used close to higher nitrogen source.  closer to source the better to overcome dispersion or tree use enough water that they pull form a larger area through a cone of depression.
(4) USEPA phytotechnologies Fact Sheet, LINK: https://19january2017snapshot.epa.gov/sites/production/files/2014-03/documents/urban_gardening_fina_fact_sheet.pdf 
     </t>
  </si>
  <si>
    <t xml:space="preserve">LINKS: Permeable Reactive Barriers (PRBs) - Injection Well Method
</t>
  </si>
  <si>
    <t>(1) Interstate Technology &amp; Regulatory Council, PRB Technology Update, 2011, LINK: http://www.clu-in.org/conf/itrc/prbtu/prez/ITRC_PRBUpdate_092012ibtpdf.pdf
(2) Construction cost based on 3 foot wide trench at 24 feet deep.
(3) Groundwater denitrification capacity and nitrous oxide flux of former fringing salt marshes filled with human-transported materials, LINK: http://link.springer.com/article/10.1007/s11252-012-0266-z
(4) CICEET - Effectiveness of Reactive Barriers for Reducing N-Loading to the Coastal Zone - 02-28-08, LINK: https://www.researchgate.net/publication/252506355_Effectiveness_of_Reactive_Barriers_for_Reducing_N-Loading_to_the_Coastal_Zone
(5) Gallons per day (GPD) in Column M assumes a groundwater flow of 2 ft/day or 2 cubic feet of groundwater flowing for every cubic foot of PRB times the depth (in feet) of the saturated portion of the PRB treating groundwater.</t>
  </si>
  <si>
    <t>LINKS: Permeable Reactive Barriers (PRBs) - Injection Well Method
(Aquifer Thickness - 
45 feet)</t>
  </si>
  <si>
    <t>LINKS: Permeable Reactive Barriers (PRBs) - Injection Well Method
(Aquifer Thickness - 
60 feet)</t>
  </si>
  <si>
    <t>LINKS: Fertigation Wells - Turf</t>
  </si>
  <si>
    <t>LINKS: Fertigation Wells - Cranberry Bogs</t>
  </si>
  <si>
    <t>LINKS: Toilets: Composting</t>
  </si>
  <si>
    <t>(1) 95% of average nutrient mass excreted per person per day. LINK: Previously http://richearthinstitute.org/?page_id=739, but no longer available. 
(2) Falmouth DPW and WQMC presentation 7-29-13 re Draft FCWMP/FEIR/TWMP.
(3) SSWR5.1 analysis
(4) Estimated that if 30% of Falmouth households use composting toilets, the saved fertilizer cost could amount to $10,000.
(5) US EPA Composting Toilets Fact Sheet, LINK: https://www.epa.gov/sites/production/files/2015-06/documents/comp.pdf
(6) EcoSanRes, Toilets That Make Compost, 2007, LINK: http://www.ecosanres.org/pdf_files/ESR-factsheet-13.pdf
(7) Peter Morgan, Toilets That Make Compost, 2007, LINK: http://www.ecosanres.org/pdf_files/ToiletsThatMakeCompost.pdf
(8) SunMar Toilets, LINK: http://www.sun-mar.com/     
(9) SanCor Industries Toilets, LINK:  http://www.sancor.ca/     
(10) Construction costs includes cost for plumbing modifications based on 50% the cost of the toilet.</t>
  </si>
  <si>
    <t>LINKS: Toilets: Incinerating</t>
  </si>
  <si>
    <t>(1) Barnstable County Department of Health and Environment, LINK: http://www.barnstablecountyhealth.org/resources/publications/compendium-of-information-on-alternative-onsite-septic-system-technology/incinerating-toilets
(2) Eco Toilets, Incinerating Toilets As An Alternative To Flushing Toilets, LINK: http://www.eco-toilets.com/incinerating-toilets.php
(3) Nicolet Electric Incinerating Toilets,  LINK: http://www.incinolet.com/     
(4) Construction costs includes cost for plumbing modifications based on 50% the cost of the toilet.</t>
  </si>
  <si>
    <t>LINKS: Toilets: Packaging</t>
  </si>
  <si>
    <t xml:space="preserve">(1) 100% of average nutrient mass excreted per person per day adjusted based on 3 persons / household for Cape Cod.
(2) Construction costs includes cost for plumbing modifications based on 50% the cost of the toilet.
</t>
  </si>
  <si>
    <t>LINKS: Toilets: Urine Diverting</t>
  </si>
  <si>
    <t>(1) Estimated  price range for 3 UD systems. Urine Diversion Systems. Lauren Cole et al. Tufts University.  Semester Research Project.  UEP 0279 Water Resources Policy,  P 18.
(2) Earle Barnhart and Hilde Maingay.  Let No Waste Go to Waste.  Presentation at Howe's House West Tisbury Ma.  Nov. 30 2011, LINK: http://mvgazette.com/news/2011/12/01/composting-toilets-pitched-better-sewers-protecting-ponds?k=vg524595282974b&amp;r=1
(3) 80% of average nutrient mass excreted per person per day adjusted based on 3 persons/household for Cape Cod
(4) SSWR5.1, 
(5) Stockholm Environment Institute - Urine Diversion One Step Towards Sustainable Sanitation - 2006. http://www.ecosanres.org/pdf_files/Urine_Diversion_2006-1.pdf
(6) Ecovita West, LINK: http://www.ecovita.net/
(7) Construction costs includes cost for plumbing modifications based on 50% the cost of the toilet.</t>
  </si>
  <si>
    <t>LINKS: Public Facility: Urine Diverting</t>
  </si>
  <si>
    <t>LINKS: Fertilizer Management</t>
  </si>
  <si>
    <t xml:space="preserve">(1) Pleasant Bay Fertilizer Management Plan prepared for the Town of Chatham by Horsley Witten Group, Inc. (2010),  LINK: http://www.pleasantbay.org/wp-content/uploads/101216_FinalReport_10002.pdf
(2) Schueler, Tom et al. 2013. Recommendations of the Expert Panel to Define Removal Rates for Urban Nutrient Management: CBP Approved Final Report, LINK: https://www.chesapeakebay.net/documents/Final_CBP_Approved_Expert_Panel_Report_on_Urban_Nutrient_Management--short.pdf
(3) Reported nutrient removal rates taken from Chesapeake Bay Project report, which reviewed over 200 research studies and reports regarding urban nutrient management programs. 
(4) Assumes average 1/2 acre lot size with 1/4 acre landscaped and average Cape Cod rainfall = 45 inches/year of which 25 inches/year to groundwater.
(5) White, Lisabeth M., The Contribution of Lawn Fertilizer to the Nitrogen Loading of Cape Cod Embayments, Thesis, University of Rhode Island, 2003, LINK: https://www.researchgate.net/publication/34254750_The_contribution_of_lawn_fertilizer_to_the_nitrogen_loading_of_Cape_Cod_embayments 
(6) Calculation Basis - (a) Each residential lawn approximately 5,000 sqft. (Howes and Ramsey, 2001) ; (b) 8.71 lots per acre; (c) 1.08 lbs/yr per 5,000 sqft residential lawn (Howes and Ramsey, 2001), or 9.41 lbs/acre/yr, or 4.27 kg/acre/yr; (d) Rainfall infiltration for lawns 27.25 inches (Howes and Ramsey, 2001) or 2.27 feet; (e) Cuft rainfall per acre – 98,918; (f) Gallons/acre/yr  – 739,900 or 2,027 gallons/acre/year; (g) 2,801,343 liters/acre/yr; (h) Divided 4.27 kg/acre/yr by 2,801,343 liters/acre/year to back into 1.52 mg/L; (i) No construction costs in the matrix at this time; (j) Adjusted annual O&amp;M costs are $20/acre of maintained grounds/year or around $5 per household; and (k) Average Life Cycle Costs are around $115/kg.
</t>
  </si>
  <si>
    <t xml:space="preserve">(1) EPA Stormwater BMPs, LINK: https://19january2017snapshot.epa.gov/npdes/national-menu-best-management-practices-bmps-stormwater_.html#edu
(2) California Stormwater Quality Association (CASQA). 2003. Best Management Practices (BMP) Handbook, Municipal, LINK: https://www.casqa.org/resources/bmp-handbooks/municipal-bmp-handbook
(3) Pennsylvania BMP manual, LINK: http://www.stormwaterpa.org/assets/media/BMP_manual/chapter_5/Chapter_5-7-1.pdf     
(4) Deriving Reliable Pollutant Removal Rates for Municipal Street Sweeping and Storm Drain Cleanout Programs in the Chesapeake Bay Basin. Center for Watershed Protection. September 2008, LINK: http://www.worldsweeper.com/Street/Studies/CWPStudy/CBStreetSweeping.pdf
(5) Effective street sweeping programs can remove several tons of debris a year from city streets minimizing pollutants, including sediment, debris, trash , road salt and trace metals, in stormwater runoff : (a)  Could quantify effect of street sweeping by maintaining logs of the number of curb miles swept and the amount of waste collected ; (b) A study conducted by the Center for Watershed Protection in the Chesapeake Bay Basin indicated that pollutant removal rates for street sweeping and municipal drain cleanout programs can range between 9-31% (TS), 3-7% (TP), and 3-7% (TN); (c) Land use planning: Minimize overall disturbance at individual lot levels as well as construction sites (TSS reduction 40%); and (d) C reduction and control: Minimize pavement by using alternative road layouts, restricting on-street parking, minimizing cul-de-sac radii , and using permeable pavers. A preventative measure for TSS, TP and NO3.
(6) Maryland Guidance street sweeping typically shows: (a)  a 5%TN, 6%TP, and 25% TSS removal when sweeping occurs once every two weeks; (b) Impervious surface elimination can significantly reduce nutrient loads; (c) Converting from impervious to grassed pervious has been shown to reduce TN by 13%, TP by 72%, and TSS by 84%; (d) Converting from impervious to forest has been shown to reduce TN by 71%, TP by 94%, and TSS by 93%; and (e) Similar potential exists for strict redevelopment standards which require introduction of stormwater management to existing impervious cover which is being redeveloped.
(7) Tree planting or reforestation also has significant potential.  Converting from grassed pervious to forest can reduce TN by 66%, TP by 77%, and TSS by 50%.
(8) Stream restoration is also a potentially very important strategy. In the Chesapeake Region, new planning guidance for stream restoration removal rates has been issued. This research suggests TN removal of 0.2 lbs per linear foot, TP removal of 0.068 lbs per linear foot, and TSS removal of 310 lbs per linear foot. LINK: http://chesapeakestormwater.net/bay-stormwater/baywide-stormwater-policy/urban-stormwater-workgroup/urban-stream-restoration/
(9) Similar potential is available for shoreline stabilization. Some guidance estimates these removal rates at 0.16 lbs TN/linear foot, 0.11 lbs TP/linear foot, and 451 lbs TSS/linear foot.
(10) Fertilizer management is also potentially a critical strategy for controlling the discharge of nutrients in stormwater. Recent guidance suggests nutrient management can reduce nutrient loading in urban stormwater by 17% for TN and 22% for TP. 
(11) Highly feasible to implement an O&amp;M plan and public outreach/education programs; however, dependent upon funding.  Land use planning and IC reduction and control can be implemented through local boards, commissions and ordinances.
(11) Costs not included as regulatory agencies require stormwater BMPs to be implemented by the municipalities.
(12) Treatment level for typical stormwater BMPs may not meet the requirements for N and P reduction.  Enhancements beyond stormwater MS4 should be considered on a case by case basis.
(13) Calculation Basis - (a) Technology metric is a curb mile; (b) Assumed average road width 30 ft.; (c) Square feet in curb mile approx. 158,400 sqft.; (d) Rainfall runoff approx. 40 inches per year (Howes and Ramsey, 2001); (e) Cubic feet of rainfall per road mile – 528,000; (f) Gallons per curb mile/year – 3,949,440 (10,820 gal/day); (g) Liters per curb mile/year – 14,952,960 liters/acre/year; (h) Road runoff nitrogen concentration mg/L 1.5 mg/L (Howes and Ramsey, 2001); (i) 22.4 kg/curb mile/year; and (j) 11.4 kg/curb mile/year if removed of 50% removed.
</t>
  </si>
  <si>
    <t>LINKS: Remediation of Existing Development</t>
  </si>
  <si>
    <t>LINKS: Compact and Open Space Development</t>
  </si>
  <si>
    <t>LINKS: Transfer of Development Rights</t>
  </si>
  <si>
    <r>
      <t xml:space="preserve">(1) Rick Pruetz, </t>
    </r>
    <r>
      <rPr>
        <i/>
        <sz val="12"/>
        <rFont val="Times New Roman"/>
        <family val="1"/>
      </rPr>
      <t>Beyond Takings and Givings</t>
    </r>
    <r>
      <rPr>
        <sz val="12"/>
        <rFont val="Times New Roman"/>
        <family val="1"/>
      </rPr>
      <t>, 2003.
(2) Massachusetts Smart Growth / Smart Energy Toolkit. LINK: http://www.mass.gov/envir/smart_growth_toolkit/pages/mod-tdr.html  
(3) This technology should be encouraged, but would be difficult to quantify potential nitrogen reductions without identifying specific preservation areas (sending areas) and specific development districts (receiving areas).</t>
    </r>
  </si>
  <si>
    <t>LINKS: Inlet / Culvert Widening</t>
  </si>
  <si>
    <t>LINKS: Coastal Habitat Restoration</t>
  </si>
  <si>
    <t>LINKS: Wild Oyster Bed Maintenance</t>
  </si>
  <si>
    <t>No references</t>
  </si>
  <si>
    <t>LINKS: Floating Constructed Wetlands</t>
  </si>
  <si>
    <t>(1) Communications with Robert Crook of Floating Islands International. LINK: http://www.floatingislandinternational.com/
(2) Project Descriptions at Floating  Islands International
(3) Floating  Islands West LLC, LINK: http://www.floatingislandswest.com/</t>
  </si>
  <si>
    <t>LINKS: Pond and Estuary Circulators</t>
  </si>
  <si>
    <t>(1) Medoraco Corp., LINK: http://www.medoraco.com/</t>
  </si>
  <si>
    <t>LINKS: Surface Water Remediation Wetlands</t>
  </si>
  <si>
    <t>LINKS: Chemical Treatment of Ponds</t>
  </si>
  <si>
    <t>LINKS: Pond and Estuary Dredging</t>
  </si>
  <si>
    <t>LINKS: Title 5 Septic System Replacement 
(Base Line Condition)</t>
  </si>
  <si>
    <t>(1) Barnstable County Cost Report, April 2010, LINK: http://www.ccwpc.org/index.php/component/content/article/36-wastewater-reports/78-comparison-of-costs-for-wastewater-management-systems-applicable-to-cape-cod
(2) Low end reflects only a basic system with no new grading or pump required for raised leaching field.  Many replacement systems that require upgrade to meet current Title 5 standards (1994 vs 1978) may require &gt; GW offset or other site restriction that demands pumped effluent to leaching field. New septic tanks should include effluent Tee filter to minimize solids carry-over to field.
(3) See Note 12..</t>
  </si>
  <si>
    <t>LINKS: Innovative/Alternative (I/A) Systems</t>
  </si>
  <si>
    <t xml:space="preserve">(1) Barnstable County Cost Report, April 2010.
(2) The MassDEP standards for operation and maintenance of I/A systems can be found at: 
       http://www.mass.gov/eea/agencies/massdep/water/wastewater/maintaining-and-repairing-innovative-alternative-system.html
(3)  Approved I/A systems are provided at the following MassDEP website: 
       http://www.mass.gov/eea/agencies/massdep/water/wastewater/summary-of-innovative-alternative-technologies-approved.html
 . </t>
  </si>
  <si>
    <t>LINKS: Innovative/Alternative (I/A) Enhanced Systems</t>
  </si>
  <si>
    <t xml:space="preserve">(1) Barnstable County Cost Report, April 2010, LINK: http://www.ccwpc.org/index.php/component/content/article/36-wastewater-reports/78-comparison-of-costs-for-wastewater-management-systems-applicable-to-cape-cod
(2) The MassDEP standards for operation and maintenance of I/A systems can be found at: 
       http://www.mass.gov/eea/agencies/massdep/water/wastewater/maintaining-and-repairing-innovative-alternative-system.html
(3)  Approved I/A systems are provided at the following MassDEP website: 
       http://www.mass.gov/eea/agencies/massdep/water/wastewater/summary-of-innovative-alternative-technologies-approved.html
 . </t>
  </si>
  <si>
    <t>LINKS: Cluster Treatment System - Single-stage</t>
  </si>
  <si>
    <t>(1) Barnstable County Cost Report, April 2010, LINK: http://www.ccwpc.org/index.php/component/content/article/36-wastewater-reports/78-comparison-of-costs-for-wastewater-management-systems-applicable-to-cape-cod</t>
  </si>
  <si>
    <t xml:space="preserve">LINKS: Cluster Treatment System - Two-stage </t>
  </si>
  <si>
    <t>(1) Barnstable County Cost Report, April 2010, LINK: http://www.ccwpc.org/index.php/component/content/article/36-wastewater-reports/78-comparison-of-costs-for-wastewater-management-systems-applicable-to-cape-cod
(2) Construction and O&amp;M costs based on Sandalwood (Oxford, MA), and Forge Pond (Granby, MA CWMP) with 25 percent increase for additional infrastructure/operations.</t>
  </si>
  <si>
    <t>LINKS: Conventional Treatment</t>
  </si>
  <si>
    <t>(1) Barnstable County Cost Report, April 2010, LINK: http://www.ccwpc.org/index.php/component/content/article/36-wastewater-reports/78-comparison-of-costs-for-wastewater-management-systems-applicable-to-cape-cod
(2) Construction and O&amp;M costs based on Nantucket, MA, Provincetown, MA, Falmouth, MA and Edgartown, MA.</t>
  </si>
  <si>
    <t>LINKS: Advanced Treatment</t>
  </si>
  <si>
    <t>(1) Barnstable County Cost Report, April 2010, LINK: http://www.ccwpc.org/index.php/component/content/article/36-wastewater-reports/78-comparison-of-costs-for-wastewater-management-systems-applicable-to-cape-cod
(2) Construction and O&amp;M costs based on Nantucket, MA, Provincetown, MA, Falmouth, MA and Edgartown, MA with 10 percent increase for additional infrastructure/operations.</t>
  </si>
  <si>
    <t>LINKS: Satellite Treatment</t>
  </si>
  <si>
    <t>(1) Barnstable County Cost Report, April 2010, LINK: http://www.ccwpc.org/index.php/component/content/article/36-wastewater-reports/78-comparison-of-costs-for-wastewater-management-systems-applicable-to-cape-cod
(2) Construction and O&amp;M costs based on Harvard Ridge (Boxborough, MA), Granby, MA CWMP, and Oak Hill Village (Franklin, MA).</t>
  </si>
  <si>
    <t>LINKS: Satellite Treatment - Enhanced</t>
  </si>
  <si>
    <t>(1) Barnstable County Cost Report, April 2010, LINK: http://www.ccwpc.org/index.php/component/content/article/36-wastewater-reports/78-comparison-of-costs-for-wastewater-management-systems-applicable-to-cape-cod
(2) Construction and O&amp;M costs based on Fruit Street (Hopkinton, MA), Granby, MA CWMP, and Nantucket, MA.</t>
  </si>
  <si>
    <t>Stormwater BMP - Inner Coastal Phytobuffers</t>
  </si>
  <si>
    <t>0 - 10 mg/L N
0.5 - 3 mg/L P</t>
  </si>
  <si>
    <t>● MassDEP
● US EPA
● MassDOT
● Department of Public Works
● Board of Health
● Conservation Commission
● Natural Heritage
● The Nature Conservancy
● Mass Historical Commission
● US Army Corps or Engineers
● Division of Marine and Fisheries
● US Fish and Wildlife Service
● Building Department
● Land Owner</t>
  </si>
  <si>
    <t>●Buffer width should be 35 to 100 ft in order to receive credit, and should be located on one or both sides of the stream.</t>
  </si>
  <si>
    <t xml:space="preserve">Vegetated swales, such as a grassed channel, dry swale, wet swale or biofilter, are a open-channel used to convey stormwater runoff. Vegetated swales typically do not pond water for a long period of time and induce infiltration.  Vegetated swales typically have a trapezoidal or parabolic shape with relatively flat side slopes.  Individual vegetated swales generally treat small drainage areas (five acres or less).
</t>
  </si>
  <si>
    <r>
      <t xml:space="preserve">(1) Comparison of Maintenance Cost, Labor Demands, and System Performance for LID and Conventional Stormwater Management, ASCE Journal of Environmental Engineering, Vol. 139, No. 7, July 1, 2013, James J. Houle; Robert M. Roseen, Ph.D., P.E.; Thomas P. Ballestero, Ph.D., P.E.; Timothy A. Puls; and James Sherrard, Jr.
</t>
    </r>
    <r>
      <rPr>
        <sz val="10"/>
        <color rgb="FFFF0000"/>
        <rFont val="Times New Roman"/>
        <family val="1"/>
      </rPr>
      <t xml:space="preserve">
(2) The removal rates source is the “EPA Performance Curves – UNHSC Nomographs”. These nomographs were developed for systems designed to store up to 2” or rainfall.   Removal rates included in this worksheet represent the removal rates for a system designed to adequately manage and treat the first 1” of runoff. Removal rates for Nitrogen and Phosphorus differ with the  storage volume provided by different designs, and can be obtained for systems that can  manage up to 2” of runoff, from the nomographs available from EPA website:  https://www3.epa.gov/region1/npdes/stormwater/assets/pdfs/ms4-permit-nomographs.pdf     </t>
    </r>
  </si>
  <si>
    <t>Subsurface gravel wetlands typically have a high pollutant removal efficiency.  They filter stormwater as it flows horizontally through a sediment forebay and a series of gravel-bottomed wetland cells.  The wetland cells consist of a thin layer of wetland soil which supports a thick vegetative cover; below which is a thick layer of gravel where algae and microbes grow in abundance.  Treatment occurs through physical, biological and chemical reactions in the wetland soil and gravel layers.  Water flows through the series of cells via subsurface pipes and is discharged to a receiving waterway or additional best management practice (BMP) through a submerged pipe in the final cell.  These systems are designed to maintain constant saturation of the wetland soils. Existing dry ponds can be retrofitted into a gravel wetland to more effectively treat stormwater runoff and may require less excavation than new construction.</t>
  </si>
  <si>
    <r>
      <t xml:space="preserve">(1) Comparison of Maintenance Cost, Labor Demands, and System Performance for LID and Conventional Stormwater Management, ASCE Journal of Environmental Engineering, Vol. 139, No. 7, July 1, 2013, James J. Houle; Robert M. Roseen, Ph.D., P.E.; Thomas P. Ballestero, Ph.D., P.E.; Timothy A. Puls; and James Sherrard, Jr.
(2)  Subsurface Gravel Wetland, Design Specifications, June 2009,  University of New Hampshire Stormwater Center
(3) Low Impact Best Management Practice (BMP) Information Sheet, Constructed Stormwater Subsurface Gravel Wetland, January 2009, Charles River Watershed Association
</t>
    </r>
    <r>
      <rPr>
        <sz val="10"/>
        <color rgb="FFFF0000"/>
        <rFont val="Times New Roman"/>
        <family val="1"/>
      </rPr>
      <t xml:space="preserve">(4) The removal rates source is the “EPA Performance Curves – UNHSC Nomographs”. These nomographs were developed for systems designed to store up to 2” or rainfall.   Removal rates included in this worksheet represent the removal rates for a system designed to adequately manage and treat the first 1” of runoff. Removal rates for Nitrogen and Phosphorus differ with the  storage volume provided by different designs, and can be obtained for systems that can  manage up to 2” of runoff, from the nomographs available from EPA website:  https://www3.epa.gov/region1/npdes/stormwater/assets/pdfs/ms4-permit-nomographs.pdf   </t>
    </r>
  </si>
  <si>
    <t>Stormwater BMP - Gravel Wetland (100 % WQV in internal storage)</t>
  </si>
  <si>
    <t>Acres of Impervious Cover Treated</t>
  </si>
  <si>
    <t xml:space="preserve"> 2 to 10</t>
  </si>
  <si>
    <t>$200 to $301</t>
  </si>
  <si>
    <t>● 2 to 5</t>
  </si>
  <si>
    <t>(1) Comparison of Maintenance Cost, Labor Demands, and System Performance for LID and Conventional Stormwater Management, ASCE Journal of Environmental Engineering, Vol. 139, No. 7, July 1, 2013, James J. Houle; Robert M. Roseen, Ph.D., P.E.; Thomas P. Ballestero, Ph.D., P.E.; Timothy A. Puls; and James Sherrard, Jr.
(2)  Subsurface Gravel Wetland, Design Specifications, June 2009,  University of New Hampshire Stormwater Center
(3) Low Impact Best Management Practice (BMP) Information Sheet, Constructed Stormwater Subsurface Gravel Wetland, January 2009, Charles River Watershed Association
(4) UNH Stromwater Center, Investigation of Bioretention Soil Media and Amendments of Nutrients from Stormwater Runoff - 2014 Unpublished Report</t>
  </si>
  <si>
    <t>Draft MS-4 will be instructing towns to design systems that will help mitigate pollutants where there is an approved TMDL.  Towns will need to start thinking about certain contaminants and treating for them.
Good management practices, but will be difficult to quantify effect.
EPA updating stormwater regulations (see Southeast Watershed Alliance website for an example).
Siting requirements are all site specific, the reality is that there are only a few systems effective at N removal.
Street sweeping study conducted by USGS for MassDEP provided removal rate for total phosphorus of 9% with three times per week sweeping, 8% for monthly sweeping, using a regenerative-air sweeper.  Mechanical broom sweepers were found to have lower removal efficiency (3% TP removal for three times per week sweeping, and 1.4% TP removal for monthly sweeping).  The USGS study was conducted in Cambridge which has urban tree network. In locations with less tree canopy, phosphorus removal efficiency would likely be less, because the street load is less.
Towns should review requirements in permit requiring impervious surfaces – i.e. towns tend to oversize parking areas for commercial facilities.</t>
  </si>
  <si>
    <t>Stormwater: Bioretention / Soil Media Filters - Sandy Soils (no compost)</t>
  </si>
  <si>
    <t xml:space="preserve">Bioretention is the process in which contaminants and sedimentation are removed from stormwater runoff through physical, biological and chemical treatment processes.  Stormwater is collected into the treatment area which consists of a grass buffer strip, sand bed, ponding area, organic layer or mulch layer, planting soil, and plants. 
Runoff passes first over or through a sand bed, which slows the runoff's velocity, distributes it evenly along the length of the ponding area, which consists of a surface organic layer and/or groundcover and the underlying planting soil.  The ponding area is graded, its center depressed.  Water is ponded and gradually infiltrates the bioretention area or is evapotranspired.  The bioretention area is graded to divert excess runoff away from itself. Stored water in the bioretention area planting soil exfiltrates over a period of days into the underlying soils.
</t>
  </si>
  <si>
    <t>● GW depth &gt; 2 feet.
● Footprint is greatly scalable.</t>
  </si>
  <si>
    <t>● Achieves nitrogen removal and phosphorus removal .</t>
  </si>
  <si>
    <r>
      <t xml:space="preserve">(1)  A Comparison of Maintenance Cost, Labor Demands, and System Performance for LID and Conventional Stormwater Management, ASCE Journal of Environmental Engineering; January 25, 2013
(2) University of New Hampshire Stormwater Center, 2013 Annual Report.
(3) 2009 UNHSC Specs.
(4) EPA Fact Sheet: Bioretention Winogradoff, 2001  Claytor &amp; Schueler, 1996.
(5) Design of Stormwater Filtering Systems , 1996, R. Claytor, T. R. Schueler
(6) US DOT, Stormwater Best Management Practices in an Ultra-Urban Setting: Selection and Monitoring - Fact Sheet - Filter Strips
(7) State of Vermont, State of the Practice: Enhanced Nutrient Removal in Stormwater Treatment
(8) USEPA Stormwater Technology Fact Sheet - Bioretention
</t>
    </r>
    <r>
      <rPr>
        <sz val="10"/>
        <color rgb="FFFF0000"/>
        <rFont val="Times New Roman"/>
        <family val="1"/>
      </rPr>
      <t xml:space="preserve">(9) UNH Stromwater Center, Investigation of Bioretention Soil Media and Amendments of Nutrients from Stormwater Runoff - 2014 Unpublished Report
</t>
    </r>
    <r>
      <rPr>
        <sz val="10"/>
        <rFont val="Times New Roman"/>
        <family val="1"/>
      </rPr>
      <t xml:space="preserve">
</t>
    </r>
  </si>
  <si>
    <t xml:space="preserve">Bioretention systems have the potential at some level for nutrient removal, although the BMP Database which included  pollutant removal rates for several bioretention system throughout the country shows that most of these systems can have negative removal rate, in other words show leaching of nutrients.  Their overall nutrients removal may be limited depending on the percentage of nitrogen load contributed by stormwater (It is typically around 10% on the Cape.)
To optimize treatment, the residence time in the system should be prolonged and maintenance should be performed regularly to prevent leaching of nutrients. Bioretention's benefits are probably better analyzed at a “small/ site scale”  rather than “large/neighborhood scale,” because they are best dosed by sheet flow, rather than serving as regional treatment systems.
UNH  has performed several controlled  laboratory and field studies to evaluate various Bioretention designs for enhancing phosphorus and nitrogen removal rates.  Some of their results (both published and unpublished to date) are incorporated in this database. However, optimized bioretention designs  are better performers for phosphorus removal than nitrogen removal.
</t>
  </si>
  <si>
    <r>
      <t xml:space="preserve">(1)  A Comparison of Maintenance Cost, Labor Demands, and System Performance for LID and Conventional Stormwater Management, ASCE Journal of Environmental Engineering; January 25, 2013
(2) University of New Hampshire Stormwater Center, 2013 Annual Report.
(3) 2009 UNHSC Specs.
(4) EPA Fact Sheet: Bioretention Winogradoff, 2001  Claytor &amp; Schueler, 1996.
(5) Design of Stormwater Filtering Systems , 1996, R. Claytor, T. R. Schueler
(6) US DOT, Stormwater Best Management Practices in an Ultra-Urban Setting: Selection and Monitoring - Fact Sheet - Filter Strips
(7) State of Vermont, State of the Practice: Enhanced Nutrient Removal in Stormwater Treatment
(8) USEPA Stormwater Technology Fact Sheet - Bioretention
</t>
    </r>
    <r>
      <rPr>
        <sz val="10"/>
        <color rgb="FFFF0000"/>
        <rFont val="Times New Roman"/>
        <family val="1"/>
      </rPr>
      <t xml:space="preserve">(9) UNH Stromwater Center, Investigation of Bioretention Soil Media and Amendments of Nutrients from Stormwater Runoff - 2014 Unpublished Report
</t>
    </r>
  </si>
  <si>
    <t>Bioretention systems have the potential at some level for nutrient removal, although the BMP Database which included  pollutant removal rates for several bioretention system throughout the country shows that most of these systems can have negative removal rate, in other words show leaching of nutrients.  Their overall nutrients removal may be limited depending on the percentage of nitrogen load contributed by stormwater (It is typically around 10% on the Cape.)
To optimize treatment, the residence time in the system should be prolonged and maintenance should be performed regularly to prevent leaching of nutrients. Bioretention's benefits are probably better analyzed at a “small/ site scale”  rather than “large/neighborhood scale,” because they are best dosed by sheet flow, rather than serving as regional treatment systems.
UNH  has performed several controlled  laboratory and field studies to evaluate various Bioretention designs for enhancing phosphorus and nitrogen removal rates.  Some of their results (both published and unpublished to date) are incorporated in this database. However, optimized bioretention designs  are better performers for phosphorus removal than nitrogen removal.</t>
  </si>
  <si>
    <t>Stormwater: Enhanced Bioretention Filters with ZVI or WTR</t>
  </si>
  <si>
    <t>2 - 10 mg/L N
0.5 - 3 mg/L P</t>
  </si>
  <si>
    <t>2 to 10</t>
  </si>
  <si>
    <t>Stormwater: Bioretention Systems with Internal Storage Reservoir (ISR)</t>
  </si>
  <si>
    <r>
      <t xml:space="preserve">(1)  A Comparison of Maintenance Cost, Labor Demands, and System Performance for LID and Conventional Stormwater Management, ASCE Journal of Environmental Engineering; January 25, 2013
(2) University of New Hampshire Stormwater Center, 2013 Annual Report.
(3) 2009 UNHSC Specs.
(4) EPA Fact Sheet: Bioretention Winogradoff, 2001  Claytor &amp; Schueler, 1996.
(5) Design of Stormwater Filtering Systems , 1996, R. Claytor, T. R. Schueler
(6) US DOT, Stormwater Best Management Practices in an Ultra-Urban Setting: Selection and Monitoring - Fact Sheet - Filter Strips
(7) State of Vermont, State of the Practice: Enhanced Nutrient Removal in Stormwater Treatment
(8) USEPA Stormwater Technology Fact Sheet - Bioretention
</t>
    </r>
    <r>
      <rPr>
        <sz val="10"/>
        <color rgb="FFFF0000"/>
        <rFont val="Times New Roman"/>
        <family val="1"/>
      </rPr>
      <t xml:space="preserve">(9) The removal rates source is the “EPA Performance Curves – UNHSC Nomographs”. These nomographs were developed for systems designed to store up to 2” or rainfall.   Removal rates included in this worksheet represent the removal rates for a system designed to adequately manage and treat the first 1” of runoff. Removal rates for Nitrogen and Phosphorus differ with the  storage volume provided by different designs, and can be obtained for systems that can  manage up to 2” of runoff, from the nomographs available from EPA website:  https://www3.epa.gov/region1/npdes/stormwater/assets/pdfs/ms4-permit-nomographs.pdf   
</t>
    </r>
  </si>
  <si>
    <t>Stormwater: Wet Pond</t>
  </si>
  <si>
    <t>Stormwater "wet ponds" or "retention ponds" are stormwater facilities constructed by excavation or by raising embankments to create an impoundment and provide both temporary and permanent storage of stormwater runoff.  Outlet structures are typically  used along with impermeable liner of manmade materials or clay layers, to create a permanently wet pond that is maintained between rainfall events. Wet ponds  promote settlement of solids as well as biological treatment between storm events. Although they can provide reasonably good water quality treatment, lack of maintenance can lead to decreasing removal efficiencies overtime and even  “leaching” of retained pollutants overtime.</t>
  </si>
  <si>
    <t>3 - 10 mg/L N
0.5 - 3 mg/L P</t>
  </si>
  <si>
    <t xml:space="preserve">(1) The removal rates source is the “EPA Performance Curves – UNHSC Nomographs”. These nomographs were developed for systems designed to store up to 2” or rainfall.   Removal rates included in this worksheet represent the removal rates for a system designed to adequately manage and treat the first 1” of runoff. Removal rates for Nitrogen and Phosphorus differ with the  storage volume provided by different designs, and can be obtained for systems that can  manage up to 2” of runoff, from the nomographs available from EPA website:  https://www3.epa.gov/region1/npdes/stormwater/assets/pdfs/ms4-permit-nomographs.pdf   </t>
  </si>
  <si>
    <t>Stormwater: Tree Box Filter</t>
  </si>
  <si>
    <t>Tree Box Filters are essentially biofiltration systems contained within a concrete vault. The more significant differences from a typical biofiltration system are:
•	Given that tree box filters have a smaller footprint, the soil mix needs to have a higher permeability  rate than bioretention systems (typically a mix of 80% sand and 20% compost with low Phosphorus leaching potential or loam), and
 •	The vegetation consists of a single tree or shrubbery the roots of which can be contained within the concrete vault</t>
  </si>
  <si>
    <t>4 - 10 mg/L N
0.5 - 3 mg/L P</t>
  </si>
  <si>
    <t xml:space="preserve">● Footprint can be longitudinally scalable as tree  trenches. </t>
  </si>
  <si>
    <t>Constructed wetlands provide aerobic chambers followed by subsurface anaerobic chambers that facilitate nitrification followed by denitrification, respectively.  This process mimics that of natural systems coupled with engineering design guaranteeing residence time within a chamber containing anaerobic conditions. This partnership allows for year round removal efficiencies of nitrogen.  The reclaimed water from the wetland can be discharged into a water body or used for open space irrigation after treatment.  The reclaimed water can also be discharged into a leach field or similar system for discharge to the groundwater.</t>
  </si>
  <si>
    <t xml:space="preserve">(1)  A Comparison of Maintenance Cost, Labor Demands, and System Performance for LID and Conventional Stormwater Management. Journal of Environmental Engineering; January 25, 2013
(2) University of New Hampshire Stormwater Center, 2013 Annual Report;
(3) In general very similar principals, removal and sizing/removal rates as FWS wetlands but need to take into consideration episodic flow events vs. regular flow events.
(4) USEPA Fact Sheet: http://water.epa.gov/infrastructure/septic/upload/wetlands-subsurface_flow.pdf
</t>
  </si>
  <si>
    <t>Overview of the Technologies Matrix v. 3.0 changes</t>
  </si>
  <si>
    <t>The primary goal of this revision was to incorporate new and updated data regarding stormwater treatment technologies</t>
  </si>
  <si>
    <r>
      <rPr>
        <b/>
        <sz val="11"/>
        <rFont val="Calibri"/>
        <family val="2"/>
      </rPr>
      <t>Phytobuffers</t>
    </r>
    <r>
      <rPr>
        <sz val="11"/>
        <rFont val="Calibri"/>
        <family val="2"/>
      </rPr>
      <t xml:space="preserve"> have been separated into two classes, </t>
    </r>
    <r>
      <rPr>
        <b/>
        <sz val="11"/>
        <rFont val="Calibri"/>
        <family val="2"/>
      </rPr>
      <t>inner coastal phytobuffers</t>
    </r>
    <r>
      <rPr>
        <sz val="11"/>
        <rFont val="Calibri"/>
        <family val="2"/>
      </rPr>
      <t xml:space="preserve">  and </t>
    </r>
    <r>
      <rPr>
        <b/>
        <sz val="11"/>
        <rFont val="Calibri"/>
        <family val="2"/>
      </rPr>
      <t>tidally influenced phytobuffers</t>
    </r>
    <r>
      <rPr>
        <sz val="11"/>
        <rFont val="Calibri"/>
        <family val="2"/>
      </rPr>
      <t>, each with its own N and P removal ranges.</t>
    </r>
  </si>
  <si>
    <r>
      <rPr>
        <b/>
        <sz val="11"/>
        <rFont val="Calibri"/>
        <family val="2"/>
      </rPr>
      <t>Stormwater bioretention system examples are now provided for several variations of planting soil mixes</t>
    </r>
    <r>
      <rPr>
        <sz val="11"/>
        <rFont val="Calibri"/>
        <family val="2"/>
      </rPr>
      <t xml:space="preserve"> (sandy soil, loamy soil, and sandy soil amended with zero valent iron or waste treatment residuals), and for one design variation (internal storage reservoir) for enhanced nitrogen removal.  Individual nitrogen and phosphorus removal ranges are provided for each of these examples.</t>
    </r>
  </si>
  <si>
    <r>
      <rPr>
        <sz val="10"/>
        <color theme="1"/>
        <rFont val="Times New Roman"/>
        <family val="1"/>
      </rPr>
      <t>See Tab for Aquaculture Details</t>
    </r>
    <r>
      <rPr>
        <sz val="10"/>
        <rFont val="Times New Roman"/>
        <family val="1"/>
      </rPr>
      <t xml:space="preserve">
Shellfish, and specifically oysters, remove nitrogen from their environment. The growing and removal of the mature oysters can remove nitrogen from an estuary, reducing the estuary's nitrogen load.  Aquaculture can become a dual purpose project where shellfish are harvested for market while there will be a local reduction in nitrogen in the overlying water column during the growth and maturation of the oysters.
This method of aquaculture cultivates shellfish above the estuary bed in containers. Harvesting a portion of the oysters is required to remove nitrogen.  Cultivating shellfish above the estuary bed can be used in combination with other types of aquaculture as well as floating constructed wetlands designed for brackish water.
</t>
    </r>
    <r>
      <rPr>
        <sz val="10"/>
        <color rgb="FFFF0000"/>
        <rFont val="Times New Roman"/>
        <family val="1"/>
      </rPr>
      <t>This is a water body Restoration technology.</t>
    </r>
  </si>
  <si>
    <r>
      <rPr>
        <sz val="10"/>
        <color theme="1"/>
        <rFont val="Times New Roman"/>
        <family val="1"/>
      </rPr>
      <t xml:space="preserve">See Tab for Aquaculture Details
Shellfish, and specifically oysters, remove nitrogen from their environment. The growing and removal of the mature oysters can remove nitrogen from an estuary, reducing the estuary's nitrogen load.  Aquaculture can become a dual purpose project where shellfish are harvested for market while there will be a local reduction in nitrogen in the overlying water column during the growth and maturation of the oysters.
This method of aquaculture cultivates shellfish above the estuary bed in containers. Harvesting a portion of the oysters is required to remove nitrogen.  Cultivating shellfish above the estuary bed can be used in combination with other types of aquaculture as well as floating constructed wetlands designed for brackish water.
</t>
    </r>
    <r>
      <rPr>
        <sz val="10"/>
        <color rgb="FFFF0000"/>
        <rFont val="Times New Roman"/>
        <family val="1"/>
      </rPr>
      <t>This is a water body Restoration technology.</t>
    </r>
  </si>
  <si>
    <r>
      <rPr>
        <sz val="10"/>
        <color theme="1"/>
        <rFont val="Times New Roman"/>
        <family val="1"/>
      </rPr>
      <t>See PRB Details tab.</t>
    </r>
    <r>
      <rPr>
        <sz val="10"/>
        <rFont val="Times New Roman"/>
        <family val="1"/>
      </rPr>
      <t xml:space="preserve">
A permeable reactive barrier (PRB) is an in-situ (installed within the aquifer) treatment zone designed to intercept nitrogen enriched groundwater.  Through use of a carbon source, microbes in the groundwater uptake the nitrogen, denitrifying the groundwater.
The trench method PRB uses large trenching equipment to install a mixture of coarse sand, wood chips, compost and/or other materials in the trench created by the trencher.  The vertical wall can be installed to a depth of 40 feet with a width of 1.5 to 3 feet.  In certain circumstances, the PRB can also be installed in large diameter columns as compared to a continuous trench.  The trench or column style PRB can be used in combination with the injection well PRB described below.
As groundwater flows through the wall, the wall provides a carbon source (food) for microbes living in the groundwater.  The carbon provides a food source for microbes in the groundwater.  The microbes consume the carbon source as well as oxygen, developing an anaerobic environment which releases nitrogen gas to the atmosphere, reducing the groundwater nitrogen load before it reaches the estuary.  
</t>
    </r>
    <r>
      <rPr>
        <sz val="10"/>
        <color rgb="FFFF0000"/>
        <rFont val="Times New Roman"/>
        <family val="1"/>
      </rPr>
      <t>This is a groundwater Remediation technology</t>
    </r>
    <r>
      <rPr>
        <sz val="10"/>
        <rFont val="Times New Roman"/>
        <family val="1"/>
      </rPr>
      <t xml:space="preserve">.
</t>
    </r>
  </si>
  <si>
    <r>
      <rPr>
        <sz val="10"/>
        <color theme="1"/>
        <rFont val="Times New Roman"/>
        <family val="1"/>
      </rPr>
      <t>See PRB Details tab.</t>
    </r>
    <r>
      <rPr>
        <sz val="10"/>
        <rFont val="Times New Roman"/>
        <family val="1"/>
      </rPr>
      <t xml:space="preserve">
A permeable reactive barrier (PRB) is an in-situ (installed within the aquifer) treatment zone designed to intercept nitrogen enriched groundwater.  Through use of a carbon source, microbes in the groundwater uptake the nitrogen, denitrifying the groundwater.
An injection Well PRB system typically uses a series of injection wells to introduce the carbon source into the groundwater.   The injection wells can be installed to depth greater than the PRB trench method.  The injection well PRB method can be used in combination with the PRB trenching method described above.
As groundwater flows through the injected medium, the medium provides a carbon source (food) for microbes living in the groundwater.  The carbon provides a food source for microbes in the groundwater.  The microbes consume the carbon source as well as oxygen, developing an anaerobic environment which releases nitrogen gas to the atmosphere, reducing the groundwater nitrogen load before it reaches the estuary.  
</t>
    </r>
    <r>
      <rPr>
        <sz val="10"/>
        <color rgb="FFFF0000"/>
        <rFont val="Times New Roman"/>
        <family val="1"/>
      </rPr>
      <t>This is a groundwater Remediation technology.</t>
    </r>
    <r>
      <rPr>
        <sz val="10"/>
        <rFont val="Times New Roman"/>
        <family val="1"/>
      </rPr>
      <t xml:space="preserve">
</t>
    </r>
  </si>
  <si>
    <t xml:space="preserve">Stormwater treatment by using  a buffer of at least 35 ft wide including plants to remove nutrients and other contaminants.  Fast growing poplar and willow trees accompanied by shruberies and grass are typically required on at least one side of the stream in order to receive full credit. </t>
  </si>
  <si>
    <t>MA Stormwater Handbook</t>
  </si>
  <si>
    <t>NH Stormwater Manual</t>
  </si>
  <si>
    <t>EPA Performance Curves / Cost Estimates</t>
  </si>
  <si>
    <t>Vegetated Buffers</t>
  </si>
  <si>
    <t>Water Quality Swale</t>
  </si>
  <si>
    <t>Treatment Swales</t>
  </si>
  <si>
    <t>Grass Swale</t>
  </si>
  <si>
    <t>Gravel Wetlands</t>
  </si>
  <si>
    <t>Bioretention Areas &amp; Rain Gardens (with infiltration)</t>
  </si>
  <si>
    <t>Bioretention system (with infiltration)</t>
  </si>
  <si>
    <t>Infiltration Basin / Bioretention</t>
  </si>
  <si>
    <t>Constructed Stormwater Wetland</t>
  </si>
  <si>
    <t>Stormwater Wetlands</t>
  </si>
  <si>
    <t>Technologies Matrix</t>
  </si>
  <si>
    <t>Phytobuffers - Inner Coastal</t>
  </si>
  <si>
    <t>Phytobuffers - Tidally Influenced</t>
  </si>
  <si>
    <t>Vegetated Swale</t>
  </si>
  <si>
    <t>Gravel Wetland</t>
  </si>
  <si>
    <t>Bioretention / Soil Media Filter - Sandy Soils</t>
  </si>
  <si>
    <t>Bioretention / Soil Media Filter - Loamy Soils</t>
  </si>
  <si>
    <t>Constructed Wetlands</t>
  </si>
  <si>
    <t>Stormwater Details</t>
  </si>
  <si>
    <t>Stormwater Technologies Naming Crosswalk</t>
  </si>
  <si>
    <t>Removal rates at 90%-100% depend on application at agronomic rate and efficient evapotranspiration.  However, there is a need to consider long term monitoring to demonstrate effectiveness, perhaps with pan lysimeters.  In particular, there could be some release of residual N (particularly Org-N stored in the soil) during the non-growing season.  This would have to be evaluated.  How would this be evaluated considering different application rates, different soil types, different species and density of plantings?</t>
  </si>
  <si>
    <t xml:space="preserve">Password Protection: The Technologies Matrix workbook is password protected by default to prevent inadvertent changes to its contents.  Users who wish to explore the effect of varying certain input values can do so by unprotecting the workbook or worksheet using the following password: cape2o </t>
  </si>
  <si>
    <t>The Average Daily Flow for Stormwater Technologies: (previously 15,000 to 16,500 gallons per day) has been adjusted to 2,750 gpd, which corresponds to the annual average daily volume of runoff generated by one acre of impervious cover in Barnstable County that could be treated by a stormwater BMP.</t>
  </si>
  <si>
    <t>Two additional stormwater technologies, wet ponds and tree box filters, were added to the Technologies Matrix with corresponding nutrient removal ranges.</t>
  </si>
  <si>
    <t>Nutrient removal rates for vegetated swales have been adjusted to reflect updated data.  Vegetated swales were not removed from the Technologies Matrix as they may be employed for reasons other than nutrient removal, and having the updated data in the Technologies Matrix was deemed more useful and less confusing for users than omitting the technology completely.</t>
  </si>
  <si>
    <r>
      <t xml:space="preserve">Two examples for </t>
    </r>
    <r>
      <rPr>
        <b/>
        <sz val="11"/>
        <rFont val="Calibri"/>
        <family val="2"/>
      </rPr>
      <t>gravel wetlands</t>
    </r>
    <r>
      <rPr>
        <sz val="11"/>
        <rFont val="Calibri"/>
        <family val="2"/>
      </rPr>
      <t xml:space="preserve"> are now provided, to illustrate how the volume of internal storage provided influences the rate of nitrogen removal.  Nitrogen removal ranges are provided for designs providing internal storage for </t>
    </r>
    <r>
      <rPr>
        <b/>
        <sz val="11"/>
        <rFont val="Calibri"/>
        <family val="2"/>
      </rPr>
      <t>35% of the water quality volume</t>
    </r>
    <r>
      <rPr>
        <sz val="11"/>
        <rFont val="Calibri"/>
        <family val="2"/>
      </rPr>
      <t xml:space="preserve">, and for </t>
    </r>
    <r>
      <rPr>
        <b/>
        <sz val="11"/>
        <rFont val="Calibri"/>
        <family val="2"/>
      </rPr>
      <t>100% of the water quality volume.</t>
    </r>
  </si>
  <si>
    <r>
      <t xml:space="preserve">All examples of </t>
    </r>
    <r>
      <rPr>
        <b/>
        <sz val="11"/>
        <rFont val="Calibri"/>
        <family val="2"/>
      </rPr>
      <t>stormwater bioretention systems</t>
    </r>
    <r>
      <rPr>
        <sz val="11"/>
        <rFont val="Calibri"/>
        <family val="2"/>
      </rPr>
      <t xml:space="preserve"> have been modified to note that compost should not be used in the soil mixture, as it can act as a source of nitrogen to groundwater.</t>
    </r>
  </si>
  <si>
    <t>(1) Removal rates data source: Expert Panel for Releasing Removal Rates for Riparian Forest and Grass Buffers Best Management Practices: https://www.chesapeakebay.net/documents/Riparian_BMP_Panel_Report_FINAL_October_2014.pdf 
(2) CH2HMill, 2012, J. Smeasrod Interview, Offshoots, Inc. Precedent Study- 3 projects.
(3) Nitrogen concentrations in groundwater are difficult to test.  This is the minimum standard that is know to be removed, but the numbers are likely much higher.
(4) Cost per acre can be as low as 5,000 when small cuttings and no irrigation is used.</t>
  </si>
  <si>
    <t>Stormwater BMP - Tidal Influenced Phytobuffers</t>
  </si>
  <si>
    <t>Stormwater BMP - Gravel Wetland (35% WQV in internal storage)</t>
  </si>
  <si>
    <t>Stormwater: Bioretention / Soil Media Filters - Loamy Soils (no compost)</t>
  </si>
  <si>
    <t>● Achieves high nitrogen removal and phosphorus removal.</t>
  </si>
  <si>
    <t>This version of the Technologies Matrix will be reviewed by the 208 Technologies Matrix Review Committee to be an appropriate update of the Matrix based on the availability of new information at the time of the update (March 2020). The Matrix will continue to be evaluated and revised annually, or as needed, as new information becomes available.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</si>
</sst>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4" formatCode="_(&quot;$&quot;* #,##0.00_);_(&quot;$&quot;* \(#,##0.00\);_(&quot;$&quot;* &quot;-&quot;??_);_(@_)"/>
    <numFmt numFmtId="43" formatCode="_(* #,##0.00_);_(* \(#,##0.00\);_(* &quot;-&quot;??_);_(@_)"/>
    <numFmt numFmtId="164" formatCode="0.0"/>
    <numFmt numFmtId="165" formatCode="[$-409]General"/>
    <numFmt numFmtId="166" formatCode="_(* #,##0_);_(* \(#,##0\);_(* &quot;-&quot;??_);_(@_)"/>
    <numFmt numFmtId="167" formatCode="_(&quot;$&quot;* #,##0_);_(&quot;$&quot;* \(#,##0\);_(&quot;$&quot;* &quot;-&quot;??_);_(@_)"/>
    <numFmt numFmtId="168" formatCode="0.0%"/>
    <numFmt numFmtId="169" formatCode="[$$-409]#,##0.00;[Red]&quot;-&quot;[$$-409]#,##0.00"/>
    <numFmt numFmtId="170" formatCode="&quot;$&quot;#,##0"/>
    <numFmt numFmtId="171" formatCode="_(* #,##0.0_);_(* \(#,##0.0\);_(* &quot;-&quot;??_);_(@_)"/>
    <numFmt numFmtId="172" formatCode="_(&quot;$&quot;* #,##0.0_);_(&quot;$&quot;* \(#,##0.0\);_(&quot;$&quot;* &quot;-&quot;??_);_(@_)"/>
    <numFmt numFmtId="173" formatCode="[$-409]mmmm\-yy;@"/>
    <numFmt numFmtId="174" formatCode="#,##0.0"/>
    <numFmt numFmtId="175" formatCode="0.000"/>
  </numFmts>
  <fonts count="53" x14ac:knownFonts="1">
    <font>
      <sz val="12"/>
      <name val="Verdana"/>
    </font>
    <font>
      <sz val="11"/>
      <color theme="1"/>
      <name val="Calibri"/>
      <family val="2"/>
      <scheme val="minor"/>
    </font>
    <font>
      <sz val="12"/>
      <name val="Verdana"/>
      <family val="2"/>
    </font>
    <font>
      <sz val="11"/>
      <color rgb="FF000000"/>
      <name val="Calibri"/>
      <family val="2"/>
    </font>
    <font>
      <b/>
      <sz val="10"/>
      <name val="Times New Roman"/>
      <family val="1"/>
    </font>
    <font>
      <sz val="10"/>
      <name val="Times New Roman"/>
      <family val="1"/>
    </font>
    <font>
      <sz val="12"/>
      <name val="Verdana"/>
      <family val="2"/>
    </font>
    <font>
      <sz val="12"/>
      <name val="Verdana"/>
      <family val="2"/>
    </font>
    <font>
      <sz val="10"/>
      <color rgb="FF000000"/>
      <name val="Times New Roman"/>
      <family val="1"/>
    </font>
    <font>
      <sz val="11"/>
      <color theme="1"/>
      <name val="Arial"/>
      <family val="2"/>
    </font>
    <font>
      <b/>
      <i/>
      <sz val="16"/>
      <color theme="1"/>
      <name val="Arial"/>
      <family val="2"/>
    </font>
    <font>
      <b/>
      <i/>
      <u/>
      <sz val="11"/>
      <color theme="1"/>
      <name val="Arial"/>
      <family val="2"/>
    </font>
    <font>
      <strike/>
      <sz val="10"/>
      <name val="Times New Roman"/>
      <family val="1"/>
    </font>
    <font>
      <sz val="10"/>
      <color theme="0"/>
      <name val="Times New Roman"/>
      <family val="1"/>
    </font>
    <font>
      <b/>
      <sz val="10"/>
      <color rgb="FF000000"/>
      <name val="Times New Roman"/>
      <family val="1"/>
    </font>
    <font>
      <u/>
      <sz val="12"/>
      <color theme="10"/>
      <name val="Verdana"/>
      <family val="2"/>
    </font>
    <font>
      <vertAlign val="superscript"/>
      <sz val="10"/>
      <color rgb="FF000000"/>
      <name val="Times New Roman"/>
      <family val="1"/>
    </font>
    <font>
      <vertAlign val="superscript"/>
      <sz val="10"/>
      <name val="Times New Roman"/>
      <family val="1"/>
    </font>
    <font>
      <sz val="11"/>
      <name val="Calibri"/>
      <family val="2"/>
    </font>
    <font>
      <sz val="11"/>
      <color rgb="FFFF0000"/>
      <name val="Calibri"/>
      <family val="2"/>
    </font>
    <font>
      <b/>
      <u/>
      <sz val="10"/>
      <name val="Times New Roman"/>
      <family val="1"/>
    </font>
    <font>
      <b/>
      <sz val="8"/>
      <name val="Times New Roman"/>
      <family val="1"/>
    </font>
    <font>
      <u/>
      <sz val="10"/>
      <name val="Times New Roman"/>
      <family val="1"/>
    </font>
    <font>
      <sz val="9"/>
      <name val="Arial"/>
      <family val="2"/>
    </font>
    <font>
      <sz val="9"/>
      <name val="Verdana"/>
      <family val="2"/>
    </font>
    <font>
      <b/>
      <sz val="9"/>
      <color theme="0"/>
      <name val="Arial"/>
      <family val="2"/>
    </font>
    <font>
      <b/>
      <sz val="9"/>
      <name val="Arial"/>
      <family val="2"/>
    </font>
    <font>
      <sz val="9"/>
      <color theme="0"/>
      <name val="Arial"/>
      <family val="2"/>
    </font>
    <font>
      <b/>
      <sz val="9"/>
      <color theme="0" tint="-0.249977111117893"/>
      <name val="Arial"/>
      <family val="2"/>
    </font>
    <font>
      <sz val="22"/>
      <name val="Times New Roman"/>
      <family val="1"/>
    </font>
    <font>
      <b/>
      <sz val="10"/>
      <color rgb="FFFF0000"/>
      <name val="Times New Roman"/>
      <family val="1"/>
    </font>
    <font>
      <b/>
      <sz val="10"/>
      <color theme="1"/>
      <name val="Times New Roman"/>
      <family val="1"/>
    </font>
    <font>
      <sz val="7"/>
      <name val="Times New Roman"/>
      <family val="1"/>
    </font>
    <font>
      <strike/>
      <sz val="11"/>
      <name val="Calibri"/>
      <family val="2"/>
    </font>
    <font>
      <strike/>
      <sz val="7"/>
      <name val="Times New Roman"/>
      <family val="1"/>
    </font>
    <font>
      <sz val="10"/>
      <color rgb="FFFF0000"/>
      <name val="Times New Roman"/>
      <family val="1"/>
    </font>
    <font>
      <b/>
      <sz val="11"/>
      <name val="Calibri"/>
      <family val="2"/>
    </font>
    <font>
      <b/>
      <sz val="11"/>
      <color theme="1"/>
      <name val="Calibri"/>
      <family val="2"/>
      <scheme val="minor"/>
    </font>
    <font>
      <b/>
      <vertAlign val="superscript"/>
      <sz val="11"/>
      <color theme="1"/>
      <name val="Calibri"/>
      <family val="2"/>
      <scheme val="minor"/>
    </font>
    <font>
      <b/>
      <sz val="11"/>
      <name val="Calibri"/>
      <family val="2"/>
      <scheme val="minor"/>
    </font>
    <font>
      <sz val="8"/>
      <color theme="1"/>
      <name val="Arial"/>
      <family val="2"/>
    </font>
    <font>
      <sz val="7"/>
      <color theme="1"/>
      <name val="Times New Roman"/>
      <family val="1"/>
    </font>
    <font>
      <b/>
      <vertAlign val="superscript"/>
      <sz val="11"/>
      <name val="Calibri"/>
      <family val="2"/>
      <scheme val="minor"/>
    </font>
    <font>
      <u/>
      <sz val="12"/>
      <color theme="11"/>
      <name val="Verdana"/>
      <family val="2"/>
    </font>
    <font>
      <sz val="12"/>
      <name val="Times New Roman"/>
      <family val="1"/>
    </font>
    <font>
      <b/>
      <sz val="12"/>
      <name val="Times New Roman"/>
      <family val="1"/>
    </font>
    <font>
      <u/>
      <sz val="12"/>
      <name val="Times New Roman"/>
      <family val="1"/>
    </font>
    <font>
      <vertAlign val="subscript"/>
      <sz val="12"/>
      <name val="Times New Roman"/>
      <family val="1"/>
    </font>
    <font>
      <i/>
      <sz val="12"/>
      <name val="Times New Roman"/>
      <family val="1"/>
    </font>
    <font>
      <sz val="10"/>
      <color theme="1"/>
      <name val="Times New Roman"/>
      <family val="1"/>
    </font>
    <font>
      <sz val="12"/>
      <name val="Calibri"/>
      <family val="2"/>
      <scheme val="minor"/>
    </font>
    <font>
      <sz val="11"/>
      <name val="Calibri"/>
      <family val="2"/>
      <scheme val="minor"/>
    </font>
    <font>
      <b/>
      <sz val="12"/>
      <name val="Verdana"/>
      <family val="2"/>
    </font>
  </fonts>
  <fills count="34">
    <fill>
      <patternFill patternType="none"/>
    </fill>
    <fill>
      <patternFill patternType="gray125"/>
    </fill>
    <fill>
      <patternFill patternType="solid">
        <fgColor rgb="FF9BBB59"/>
        <bgColor rgb="FF9BBB59"/>
      </patternFill>
    </fill>
    <fill>
      <patternFill patternType="solid">
        <fgColor rgb="FF00B050"/>
        <bgColor rgb="FF00B050"/>
      </patternFill>
    </fill>
    <fill>
      <patternFill patternType="solid">
        <fgColor rgb="FF8EB4E3"/>
        <bgColor rgb="FF8EB4E3"/>
      </patternFill>
    </fill>
    <fill>
      <patternFill patternType="solid">
        <fgColor rgb="FFDBEEF4"/>
        <bgColor rgb="FFDBEEF4"/>
      </patternFill>
    </fill>
    <fill>
      <patternFill patternType="solid">
        <fgColor rgb="FFFAC090"/>
        <bgColor rgb="FFFAC090"/>
      </patternFill>
    </fill>
    <fill>
      <patternFill patternType="solid">
        <fgColor rgb="FFEEECE1"/>
        <bgColor rgb="FFEEECE1"/>
      </patternFill>
    </fill>
    <fill>
      <patternFill patternType="solid">
        <fgColor theme="5" tint="0.39997558519241921"/>
        <bgColor rgb="FFEEECE1"/>
      </patternFill>
    </fill>
    <fill>
      <patternFill patternType="solid">
        <fgColor rgb="FFFFFF00"/>
        <bgColor indexed="64"/>
      </patternFill>
    </fill>
    <fill>
      <patternFill patternType="solid">
        <fgColor rgb="FFFFFF00"/>
        <bgColor rgb="FFFFFF00"/>
      </patternFill>
    </fill>
    <fill>
      <patternFill patternType="solid">
        <fgColor theme="9" tint="0.79998168889431442"/>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6" tint="0.59999389629810485"/>
        <bgColor rgb="FFFFFF00"/>
      </patternFill>
    </fill>
    <fill>
      <patternFill patternType="solid">
        <fgColor theme="9" tint="0.59999389629810485"/>
        <bgColor rgb="FFFFFF00"/>
      </patternFill>
    </fill>
    <fill>
      <patternFill patternType="solid">
        <fgColor theme="3" tint="0.79998168889431442"/>
        <bgColor rgb="FFFFFF00"/>
      </patternFill>
    </fill>
    <fill>
      <patternFill patternType="solid">
        <fgColor theme="0" tint="-0.14999847407452621"/>
        <bgColor rgb="FFFFFF00"/>
      </patternFill>
    </fill>
    <fill>
      <patternFill patternType="solid">
        <fgColor theme="3" tint="0.79998168889431442"/>
        <bgColor rgb="FF93CDDD"/>
      </patternFill>
    </fill>
    <fill>
      <patternFill patternType="solid">
        <fgColor theme="7" tint="0.59999389629810485"/>
        <bgColor rgb="FFFFFF00"/>
      </patternFill>
    </fill>
    <fill>
      <patternFill patternType="solid">
        <fgColor theme="2" tint="-0.249977111117893"/>
        <bgColor rgb="FFFFFF00"/>
      </patternFill>
    </fill>
    <fill>
      <patternFill patternType="solid">
        <fgColor theme="5" tint="0.39997558519241921"/>
        <bgColor indexed="64"/>
      </patternFill>
    </fill>
    <fill>
      <patternFill patternType="solid">
        <fgColor theme="8" tint="0.79998168889431442"/>
        <bgColor rgb="FFFFFF00"/>
      </patternFill>
    </fill>
    <fill>
      <patternFill patternType="solid">
        <fgColor theme="9" tint="0.79998168889431442"/>
        <bgColor rgb="FFFFFF00"/>
      </patternFill>
    </fill>
    <fill>
      <patternFill patternType="solid">
        <fgColor theme="0" tint="-4.9989318521683403E-2"/>
        <bgColor rgb="FFFFFF00"/>
      </patternFill>
    </fill>
    <fill>
      <patternFill patternType="solid">
        <fgColor rgb="FFCCFFFF"/>
        <bgColor indexed="64"/>
      </patternFill>
    </fill>
    <fill>
      <patternFill patternType="solid">
        <fgColor rgb="FF92D050"/>
        <bgColor rgb="FFFFFF00"/>
      </patternFill>
    </fill>
    <fill>
      <patternFill patternType="solid">
        <fgColor theme="0" tint="-0.249977111117893"/>
        <bgColor rgb="FFEEECE1"/>
      </patternFill>
    </fill>
    <fill>
      <patternFill patternType="solid">
        <fgColor theme="0" tint="-0.249977111117893"/>
        <bgColor indexed="64"/>
      </patternFill>
    </fill>
    <fill>
      <patternFill patternType="solid">
        <fgColor rgb="FF00E266"/>
        <bgColor rgb="FF00B050"/>
      </patternFill>
    </fill>
    <fill>
      <patternFill patternType="solid">
        <fgColor theme="0"/>
        <bgColor indexed="64"/>
      </patternFill>
    </fill>
    <fill>
      <patternFill patternType="solid">
        <fgColor rgb="FF00B0F0"/>
        <bgColor rgb="FFFFFF00"/>
      </patternFill>
    </fill>
    <fill>
      <patternFill patternType="solid">
        <fgColor rgb="FF00B050"/>
        <bgColor indexed="64"/>
      </patternFill>
    </fill>
    <fill>
      <patternFill patternType="solid">
        <fgColor theme="6" tint="0.39997558519241921"/>
        <bgColor rgb="FFFFFF00"/>
      </patternFill>
    </fill>
  </fills>
  <borders count="9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top style="thin">
        <color auto="1"/>
      </top>
      <bottom/>
      <diagonal/>
    </border>
    <border>
      <left/>
      <right/>
      <top/>
      <bottom style="thin">
        <color auto="1"/>
      </bottom>
      <diagonal/>
    </border>
    <border>
      <left/>
      <right style="thin">
        <color auto="1"/>
      </right>
      <top/>
      <bottom/>
      <diagonal/>
    </border>
    <border>
      <left/>
      <right/>
      <top/>
      <bottom style="thin">
        <color rgb="FF000000"/>
      </bottom>
      <diagonal/>
    </border>
    <border>
      <left style="double">
        <color rgb="FF000000"/>
      </left>
      <right style="thin">
        <color rgb="FF000000"/>
      </right>
      <top/>
      <bottom/>
      <diagonal/>
    </border>
    <border>
      <left style="double">
        <color rgb="FF000000"/>
      </left>
      <right style="thin">
        <color rgb="FF000000"/>
      </right>
      <top/>
      <bottom style="thin">
        <color rgb="FF000000"/>
      </bottom>
      <diagonal/>
    </border>
    <border>
      <left style="double">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double">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style="double">
        <color rgb="FF000000"/>
      </left>
      <right style="thin">
        <color rgb="FF000000"/>
      </right>
      <top style="thin">
        <color rgb="FF000000"/>
      </top>
      <bottom style="double">
        <color rgb="FF000000"/>
      </bottom>
      <diagonal/>
    </border>
    <border>
      <left style="thin">
        <color rgb="FF000000"/>
      </left>
      <right style="double">
        <color rgb="FF000000"/>
      </right>
      <top style="thin">
        <color rgb="FF000000"/>
      </top>
      <bottom style="double">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style="thin">
        <color rgb="FF000000"/>
      </left>
      <right/>
      <top/>
      <bottom style="thin">
        <color rgb="FF000000"/>
      </bottom>
      <diagonal/>
    </border>
    <border>
      <left/>
      <right/>
      <top style="double">
        <color rgb="FF000000"/>
      </top>
      <bottom style="thin">
        <color auto="1"/>
      </bottom>
      <diagonal/>
    </border>
    <border>
      <left/>
      <right style="thin">
        <color rgb="FF000000"/>
      </right>
      <top style="double">
        <color rgb="FF000000"/>
      </top>
      <bottom style="thin">
        <color rgb="FF000000"/>
      </bottom>
      <diagonal/>
    </border>
    <border>
      <left style="thin">
        <color rgb="FF000000"/>
      </left>
      <right/>
      <top style="thin">
        <color auto="1"/>
      </top>
      <bottom style="thin">
        <color rgb="FF000000"/>
      </bottom>
      <diagonal/>
    </border>
    <border>
      <left/>
      <right/>
      <top style="thin">
        <color auto="1"/>
      </top>
      <bottom style="thin">
        <color rgb="FF000000"/>
      </bottom>
      <diagonal/>
    </border>
    <border>
      <left/>
      <right style="thin">
        <color rgb="FF000000"/>
      </right>
      <top style="thin">
        <color auto="1"/>
      </top>
      <bottom style="thin">
        <color rgb="FF000000"/>
      </bottom>
      <diagonal/>
    </border>
    <border>
      <left style="thin">
        <color rgb="FF000000"/>
      </left>
      <right/>
      <top style="double">
        <color rgb="FF000000"/>
      </top>
      <bottom/>
      <diagonal/>
    </border>
    <border>
      <left/>
      <right style="thin">
        <color rgb="FF000000"/>
      </right>
      <top style="double">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double">
        <color rgb="FF000000"/>
      </left>
      <right style="thin">
        <color rgb="FF000000"/>
      </right>
      <top style="thin">
        <color rgb="FF000000"/>
      </top>
      <bottom/>
      <diagonal/>
    </border>
    <border>
      <left/>
      <right/>
      <top style="double">
        <color rgb="FF000000"/>
      </top>
      <bottom/>
      <diagonal/>
    </border>
    <border>
      <left style="double">
        <color rgb="FF000000"/>
      </left>
      <right style="thin">
        <color rgb="FF000000"/>
      </right>
      <top/>
      <bottom style="thin">
        <color auto="1"/>
      </bottom>
      <diagonal/>
    </border>
    <border>
      <left style="double">
        <color rgb="FF000000"/>
      </left>
      <right style="thin">
        <color rgb="FF000000"/>
      </right>
      <top style="thin">
        <color auto="1"/>
      </top>
      <bottom/>
      <diagonal/>
    </border>
    <border>
      <left style="thin">
        <color rgb="FF000000"/>
      </left>
      <right style="thin">
        <color rgb="FF000000"/>
      </right>
      <top style="thin">
        <color rgb="FF000000"/>
      </top>
      <bottom style="thin">
        <color auto="1"/>
      </bottom>
      <diagonal/>
    </border>
    <border>
      <left style="thin">
        <color rgb="FF000000"/>
      </left>
      <right style="thin">
        <color rgb="FF000000"/>
      </right>
      <top style="thin">
        <color auto="1"/>
      </top>
      <bottom style="thin">
        <color auto="1"/>
      </bottom>
      <diagonal/>
    </border>
    <border>
      <left style="thin">
        <color rgb="FF000000"/>
      </left>
      <right style="thin">
        <color rgb="FF000000"/>
      </right>
      <top style="thin">
        <color auto="1"/>
      </top>
      <bottom style="double">
        <color auto="1"/>
      </bottom>
      <diagonal/>
    </border>
    <border>
      <left style="thin">
        <color rgb="FF000000"/>
      </left>
      <right style="thin">
        <color rgb="FF000000"/>
      </right>
      <top/>
      <bottom style="double">
        <color rgb="FF000000"/>
      </bottom>
      <diagonal/>
    </border>
    <border>
      <left style="thin">
        <color rgb="FF000000"/>
      </left>
      <right style="thin">
        <color rgb="FF000000"/>
      </right>
      <top style="thin">
        <color auto="1"/>
      </top>
      <bottom style="double">
        <color rgb="FF000000"/>
      </bottom>
      <diagonal/>
    </border>
    <border>
      <left/>
      <right/>
      <top style="thin">
        <color auto="1"/>
      </top>
      <bottom style="thin">
        <color auto="1"/>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rgb="FF000000"/>
      </right>
      <top style="thin">
        <color rgb="FF000000"/>
      </top>
      <bottom style="thin">
        <color rgb="FF000000"/>
      </bottom>
      <diagonal/>
    </border>
    <border>
      <left/>
      <right/>
      <top/>
      <bottom style="double">
        <color rgb="FF000000"/>
      </bottom>
      <diagonal/>
    </border>
    <border>
      <left/>
      <right style="thin">
        <color rgb="FF000000"/>
      </right>
      <top/>
      <bottom/>
      <diagonal/>
    </border>
    <border>
      <left/>
      <right style="thin">
        <color rgb="FF000000"/>
      </right>
      <top style="thin">
        <color auto="1"/>
      </top>
      <bottom style="thin">
        <color auto="1"/>
      </bottom>
      <diagonal/>
    </border>
    <border>
      <left style="thick">
        <color rgb="FFC00000"/>
      </left>
      <right/>
      <top style="thick">
        <color rgb="FFC00000"/>
      </top>
      <bottom style="thick">
        <color rgb="FFC00000"/>
      </bottom>
      <diagonal/>
    </border>
    <border>
      <left/>
      <right style="thick">
        <color rgb="FFC00000"/>
      </right>
      <top style="thick">
        <color rgb="FFC00000"/>
      </top>
      <bottom/>
      <diagonal/>
    </border>
    <border>
      <left/>
      <right style="thick">
        <color rgb="FFC00000"/>
      </right>
      <top/>
      <bottom/>
      <diagonal/>
    </border>
    <border>
      <left/>
      <right/>
      <top/>
      <bottom style="thick">
        <color rgb="FFC00000"/>
      </bottom>
      <diagonal/>
    </border>
    <border>
      <left/>
      <right style="thick">
        <color rgb="FFC00000"/>
      </right>
      <top/>
      <bottom style="thick">
        <color rgb="FFC00000"/>
      </bottom>
      <diagonal/>
    </border>
    <border>
      <left/>
      <right/>
      <top style="thick">
        <color rgb="FFC00000"/>
      </top>
      <bottom style="thick">
        <color rgb="FFC00000"/>
      </bottom>
      <diagonal/>
    </border>
    <border>
      <left style="thick">
        <color rgb="FFC00000"/>
      </left>
      <right style="thin">
        <color rgb="FF000000"/>
      </right>
      <top style="thick">
        <color rgb="FFC00000"/>
      </top>
      <bottom style="thick">
        <color rgb="FFC00000"/>
      </bottom>
      <diagonal/>
    </border>
    <border>
      <left style="thin">
        <color rgb="FF000000"/>
      </left>
      <right/>
      <top/>
      <bottom/>
      <diagonal/>
    </border>
    <border>
      <left/>
      <right style="thin">
        <color rgb="FF000000"/>
      </right>
      <top style="thin">
        <color auto="1"/>
      </top>
      <bottom/>
      <diagonal/>
    </border>
    <border>
      <left style="thin">
        <color rgb="FF000000"/>
      </left>
      <right style="thick">
        <color rgb="FFC00000"/>
      </right>
      <top/>
      <bottom style="thick">
        <color rgb="FFC00000"/>
      </bottom>
      <diagonal/>
    </border>
    <border>
      <left style="thin">
        <color rgb="FF000000"/>
      </left>
      <right style="thick">
        <color rgb="FFC00000"/>
      </right>
      <top/>
      <bottom/>
      <diagonal/>
    </border>
    <border>
      <left style="thin">
        <color rgb="FF000000"/>
      </left>
      <right style="double">
        <color rgb="FF000000"/>
      </right>
      <top/>
      <bottom style="thin">
        <color rgb="FF000000"/>
      </bottom>
      <diagonal/>
    </border>
    <border>
      <left/>
      <right style="thin">
        <color auto="1"/>
      </right>
      <top style="thin">
        <color auto="1"/>
      </top>
      <bottom style="thin">
        <color rgb="FF000000"/>
      </bottom>
      <diagonal/>
    </border>
    <border>
      <left/>
      <right style="thin">
        <color auto="1"/>
      </right>
      <top style="thin">
        <color rgb="FF000000"/>
      </top>
      <bottom style="thin">
        <color rgb="FF000000"/>
      </bottom>
      <diagonal/>
    </border>
    <border>
      <left/>
      <right style="thin">
        <color auto="1"/>
      </right>
      <top style="thin">
        <color rgb="FF000000"/>
      </top>
      <bottom style="thin">
        <color auto="1"/>
      </bottom>
      <diagonal/>
    </border>
    <border>
      <left style="thin">
        <color auto="1"/>
      </left>
      <right/>
      <top style="thin">
        <color auto="1"/>
      </top>
      <bottom style="thin">
        <color rgb="FF000000"/>
      </bottom>
      <diagonal/>
    </border>
    <border>
      <left style="thin">
        <color auto="1"/>
      </left>
      <right/>
      <top style="thin">
        <color rgb="FF000000"/>
      </top>
      <bottom style="thin">
        <color rgb="FF000000"/>
      </bottom>
      <diagonal/>
    </border>
    <border>
      <left style="thin">
        <color auto="1"/>
      </left>
      <right/>
      <top style="thin">
        <color rgb="FF000000"/>
      </top>
      <bottom style="thin">
        <color auto="1"/>
      </bottom>
      <diagonal/>
    </border>
    <border>
      <left style="thin">
        <color auto="1"/>
      </left>
      <right style="thin">
        <color auto="1"/>
      </right>
      <top style="thin">
        <color auto="1"/>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rgb="FF000000"/>
      </right>
      <top style="thin">
        <color auto="1"/>
      </top>
      <bottom style="thin">
        <color rgb="FF000000"/>
      </bottom>
      <diagonal/>
    </border>
    <border>
      <left style="thin">
        <color rgb="FF000000"/>
      </left>
      <right style="thin">
        <color auto="1"/>
      </right>
      <top style="thin">
        <color auto="1"/>
      </top>
      <bottom style="thin">
        <color rgb="FF000000"/>
      </bottom>
      <diagonal/>
    </border>
    <border>
      <left style="thin">
        <color rgb="FF000000"/>
      </left>
      <right style="thin">
        <color auto="1"/>
      </right>
      <top style="thin">
        <color rgb="FF000000"/>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auto="1"/>
      </right>
      <top style="thin">
        <color rgb="FF000000"/>
      </top>
      <bottom style="thin">
        <color auto="1"/>
      </bottom>
      <diagonal/>
    </border>
    <border>
      <left style="thin">
        <color rgb="FF000000"/>
      </left>
      <right/>
      <top style="thin">
        <color auto="1"/>
      </top>
      <bottom style="thin">
        <color auto="1"/>
      </bottom>
      <diagonal/>
    </border>
    <border>
      <left/>
      <right style="thin">
        <color auto="1"/>
      </right>
      <top style="thin">
        <color auto="1"/>
      </top>
      <bottom/>
      <diagonal/>
    </border>
    <border>
      <left style="thin">
        <color rgb="FF000000"/>
      </left>
      <right/>
      <top style="thick">
        <color rgb="FFC00000"/>
      </top>
      <bottom style="thick">
        <color rgb="FFC00000"/>
      </bottom>
      <diagonal/>
    </border>
    <border>
      <left/>
      <right style="thin">
        <color rgb="FF000000"/>
      </right>
      <top/>
      <bottom style="thick">
        <color rgb="FFC00000"/>
      </bottom>
      <diagonal/>
    </border>
    <border>
      <left style="thin">
        <color auto="1"/>
      </left>
      <right style="thin">
        <color rgb="FF000000"/>
      </right>
      <top style="thin">
        <color auto="1"/>
      </top>
      <bottom style="thin">
        <color auto="1"/>
      </bottom>
      <diagonal/>
    </border>
    <border>
      <left style="thin">
        <color rgb="FF000000"/>
      </left>
      <right style="thin">
        <color auto="1"/>
      </right>
      <top style="thin">
        <color auto="1"/>
      </top>
      <bottom style="thin">
        <color auto="1"/>
      </bottom>
      <diagonal/>
    </border>
    <border>
      <left style="thin">
        <color auto="1"/>
      </left>
      <right style="thin">
        <color rgb="FF000000"/>
      </right>
      <top style="thin">
        <color auto="1"/>
      </top>
      <bottom/>
      <diagonal/>
    </border>
    <border>
      <left style="thin">
        <color rgb="FF000000"/>
      </left>
      <right style="thin">
        <color auto="1"/>
      </right>
      <top style="thin">
        <color auto="1"/>
      </top>
      <bottom/>
      <diagonal/>
    </border>
    <border>
      <left style="thin">
        <color auto="1"/>
      </left>
      <right/>
      <top style="double">
        <color rgb="FF000000"/>
      </top>
      <bottom style="thin">
        <color auto="1"/>
      </bottom>
      <diagonal/>
    </border>
    <border>
      <left style="thin">
        <color auto="1"/>
      </left>
      <right style="thin">
        <color auto="1"/>
      </right>
      <top style="thin">
        <color auto="1"/>
      </top>
      <bottom style="thick">
        <color auto="1"/>
      </bottom>
      <diagonal/>
    </border>
    <border>
      <left style="thin">
        <color auto="1"/>
      </left>
      <right style="thin">
        <color auto="1"/>
      </right>
      <top style="thick">
        <color auto="1"/>
      </top>
      <bottom style="thick">
        <color auto="1"/>
      </bottom>
      <diagonal/>
    </border>
    <border>
      <left style="thin">
        <color auto="1"/>
      </left>
      <right style="thin">
        <color auto="1"/>
      </right>
      <top style="thick">
        <color auto="1"/>
      </top>
      <bottom style="thin">
        <color auto="1"/>
      </bottom>
      <diagonal/>
    </border>
    <border>
      <left/>
      <right style="thin">
        <color auto="1"/>
      </right>
      <top style="thick">
        <color auto="1"/>
      </top>
      <bottom style="thick">
        <color auto="1"/>
      </bottom>
      <diagonal/>
    </border>
    <border>
      <left/>
      <right/>
      <top style="thick">
        <color auto="1"/>
      </top>
      <bottom/>
      <diagonal/>
    </border>
  </borders>
  <cellStyleXfs count="20">
    <xf numFmtId="0" fontId="0" fillId="0" borderId="0"/>
    <xf numFmtId="43" fontId="2" fillId="0" borderId="0" applyFont="0" applyFill="0" applyBorder="0" applyAlignment="0" applyProtection="0"/>
    <xf numFmtId="165" fontId="3" fillId="0" borderId="0"/>
    <xf numFmtId="0" fontId="2" fillId="0" borderId="0"/>
    <xf numFmtId="44" fontId="6" fillId="0" borderId="0" applyFont="0" applyFill="0" applyBorder="0" applyAlignment="0" applyProtection="0"/>
    <xf numFmtId="9" fontId="7" fillId="0" borderId="0" applyFont="0" applyFill="0" applyBorder="0" applyAlignment="0" applyProtection="0"/>
    <xf numFmtId="0" fontId="9" fillId="0" borderId="0"/>
    <xf numFmtId="0" fontId="10" fillId="0" borderId="0">
      <alignment horizontal="center"/>
    </xf>
    <xf numFmtId="0" fontId="10" fillId="0" borderId="0">
      <alignment horizontal="center" textRotation="90"/>
    </xf>
    <xf numFmtId="0" fontId="11" fillId="0" borderId="0"/>
    <xf numFmtId="169" fontId="11" fillId="0" borderId="0"/>
    <xf numFmtId="43" fontId="9" fillId="0" borderId="0" applyFont="0" applyFill="0" applyBorder="0" applyAlignment="0" applyProtection="0"/>
    <xf numFmtId="44" fontId="9" fillId="0" borderId="0" applyFont="0" applyFill="0" applyBorder="0" applyAlignment="0" applyProtection="0"/>
    <xf numFmtId="9" fontId="9" fillId="0" borderId="0" applyFont="0" applyFill="0" applyBorder="0" applyAlignment="0" applyProtection="0"/>
    <xf numFmtId="0" fontId="9" fillId="0" borderId="0"/>
    <xf numFmtId="0" fontId="15" fillId="0" borderId="0" applyNumberFormat="0" applyFill="0" applyBorder="0" applyAlignment="0" applyProtection="0"/>
    <xf numFmtId="0" fontId="1" fillId="0" borderId="0"/>
    <xf numFmtId="9" fontId="1" fillId="0" borderId="0" applyFon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cellStyleXfs>
  <cellXfs count="885">
    <xf numFmtId="0" fontId="0" fillId="0" borderId="0" xfId="0"/>
    <xf numFmtId="0" fontId="5" fillId="0" borderId="0" xfId="0" applyFont="1" applyProtection="1"/>
    <xf numFmtId="0" fontId="5" fillId="0" borderId="0" xfId="0" applyFont="1" applyAlignment="1" applyProtection="1">
      <alignment horizontal="center"/>
    </xf>
    <xf numFmtId="43" fontId="5" fillId="0" borderId="1" xfId="1" applyFont="1" applyBorder="1" applyAlignment="1" applyProtection="1">
      <alignment horizontal="center" vertical="top" wrapText="1"/>
    </xf>
    <xf numFmtId="166" fontId="5" fillId="0" borderId="1" xfId="1" applyNumberFormat="1" applyFont="1" applyBorder="1" applyAlignment="1" applyProtection="1">
      <alignment horizontal="center" vertical="top" wrapText="1"/>
    </xf>
    <xf numFmtId="44" fontId="5" fillId="0" borderId="16" xfId="4" applyNumberFormat="1" applyFont="1" applyBorder="1" applyAlignment="1" applyProtection="1">
      <alignment horizontal="center" vertical="top" wrapText="1"/>
    </xf>
    <xf numFmtId="44" fontId="5" fillId="0" borderId="1" xfId="4" applyNumberFormat="1" applyFont="1" applyBorder="1" applyAlignment="1" applyProtection="1">
      <alignment horizontal="center" vertical="top" wrapText="1"/>
    </xf>
    <xf numFmtId="165" fontId="5" fillId="0" borderId="0" xfId="2" applyFont="1" applyBorder="1" applyAlignment="1" applyProtection="1">
      <alignment horizontal="center"/>
    </xf>
    <xf numFmtId="165" fontId="5" fillId="0" borderId="0" xfId="2" applyFont="1" applyAlignment="1" applyProtection="1">
      <alignment horizontal="center"/>
    </xf>
    <xf numFmtId="10" fontId="5" fillId="0" borderId="0" xfId="13" applyNumberFormat="1" applyFont="1" applyFill="1" applyBorder="1" applyAlignment="1" applyProtection="1">
      <alignment horizontal="center" wrapText="1"/>
    </xf>
    <xf numFmtId="165" fontId="4" fillId="2" borderId="1" xfId="2" applyFont="1" applyFill="1" applyBorder="1" applyAlignment="1" applyProtection="1">
      <alignment horizontal="left" vertical="center" wrapText="1"/>
    </xf>
    <xf numFmtId="166" fontId="5" fillId="0" borderId="1" xfId="11" applyNumberFormat="1" applyFont="1" applyBorder="1" applyAlignment="1" applyProtection="1">
      <alignment horizontal="center" vertical="top" wrapText="1"/>
    </xf>
    <xf numFmtId="165" fontId="4" fillId="3" borderId="1" xfId="2" applyFont="1" applyFill="1" applyBorder="1" applyAlignment="1" applyProtection="1">
      <alignment horizontal="left" vertical="center" wrapText="1"/>
    </xf>
    <xf numFmtId="165" fontId="4" fillId="4" borderId="1" xfId="2" applyFont="1" applyFill="1" applyBorder="1" applyAlignment="1" applyProtection="1">
      <alignment horizontal="left" vertical="center" wrapText="1"/>
    </xf>
    <xf numFmtId="165" fontId="4" fillId="5" borderId="1" xfId="2" applyFont="1" applyFill="1" applyBorder="1" applyAlignment="1" applyProtection="1">
      <alignment horizontal="left" vertical="center" wrapText="1"/>
    </xf>
    <xf numFmtId="165" fontId="4" fillId="6" borderId="1" xfId="2" applyFont="1" applyFill="1" applyBorder="1" applyAlignment="1" applyProtection="1">
      <alignment horizontal="left" vertical="center" wrapText="1"/>
    </xf>
    <xf numFmtId="165" fontId="5" fillId="0" borderId="0" xfId="2" applyFont="1" applyBorder="1" applyAlignment="1" applyProtection="1">
      <alignment horizontal="center" vertical="top"/>
    </xf>
    <xf numFmtId="165" fontId="5" fillId="0" borderId="0" xfId="2" applyFont="1" applyAlignment="1" applyProtection="1">
      <alignment horizontal="left" vertical="top"/>
    </xf>
    <xf numFmtId="165" fontId="5" fillId="0" borderId="0" xfId="2" applyFont="1" applyFill="1" applyBorder="1" applyAlignment="1" applyProtection="1">
      <alignment horizontal="center" vertical="top"/>
    </xf>
    <xf numFmtId="165" fontId="5" fillId="0" borderId="0" xfId="2" applyFont="1" applyAlignment="1" applyProtection="1">
      <alignment horizontal="center" vertical="top"/>
    </xf>
    <xf numFmtId="166" fontId="5" fillId="0" borderId="16" xfId="11" applyNumberFormat="1" applyFont="1" applyBorder="1" applyAlignment="1" applyProtection="1">
      <alignment horizontal="center" vertical="top" wrapText="1"/>
    </xf>
    <xf numFmtId="165" fontId="5" fillId="0" borderId="0" xfId="2" applyFont="1" applyFill="1" applyBorder="1" applyAlignment="1" applyProtection="1">
      <alignment horizontal="center" wrapText="1"/>
    </xf>
    <xf numFmtId="43" fontId="5" fillId="0" borderId="0" xfId="11" applyNumberFormat="1" applyFont="1" applyBorder="1" applyAlignment="1" applyProtection="1">
      <alignment horizontal="center" vertical="top" wrapText="1"/>
    </xf>
    <xf numFmtId="167" fontId="5" fillId="0" borderId="0" xfId="4" applyNumberFormat="1" applyFont="1" applyFill="1" applyProtection="1"/>
    <xf numFmtId="0" fontId="5" fillId="0" borderId="0" xfId="0" applyFont="1" applyBorder="1" applyAlignment="1" applyProtection="1">
      <alignment wrapText="1"/>
    </xf>
    <xf numFmtId="0" fontId="5" fillId="0" borderId="0" xfId="0" applyFont="1" applyAlignment="1" applyProtection="1">
      <alignment wrapText="1"/>
    </xf>
    <xf numFmtId="0" fontId="5" fillId="0" borderId="0" xfId="0" applyFont="1" applyAlignment="1" applyProtection="1">
      <alignment horizontal="left"/>
    </xf>
    <xf numFmtId="165" fontId="5" fillId="0" borderId="0" xfId="2" applyFont="1" applyFill="1" applyBorder="1" applyAlignment="1" applyProtection="1">
      <alignment horizontal="center" vertical="center" wrapText="1"/>
    </xf>
    <xf numFmtId="165" fontId="5" fillId="0" borderId="0" xfId="2" applyFont="1" applyBorder="1" applyAlignment="1" applyProtection="1">
      <alignment horizontal="left" vertical="top"/>
    </xf>
    <xf numFmtId="0" fontId="5" fillId="0" borderId="0" xfId="6" applyFont="1" applyFill="1" applyBorder="1" applyAlignment="1" applyProtection="1">
      <alignment horizontal="left" vertical="top" wrapText="1"/>
    </xf>
    <xf numFmtId="0" fontId="5" fillId="0" borderId="0" xfId="0" applyFont="1" applyBorder="1" applyProtection="1"/>
    <xf numFmtId="10" fontId="5" fillId="0" borderId="0" xfId="5" applyNumberFormat="1" applyFont="1" applyFill="1" applyBorder="1" applyAlignment="1" applyProtection="1">
      <alignment horizontal="right"/>
    </xf>
    <xf numFmtId="0" fontId="13" fillId="0" borderId="0" xfId="0" applyFont="1" applyProtection="1"/>
    <xf numFmtId="165" fontId="8" fillId="0" borderId="0" xfId="2" applyFont="1" applyAlignment="1" applyProtection="1">
      <alignment horizontal="left" vertical="top"/>
    </xf>
    <xf numFmtId="170" fontId="5" fillId="0" borderId="0" xfId="2" applyNumberFormat="1" applyFont="1" applyAlignment="1" applyProtection="1">
      <alignment horizontal="center"/>
    </xf>
    <xf numFmtId="170" fontId="5" fillId="0" borderId="0" xfId="2" applyNumberFormat="1" applyFont="1" applyBorder="1" applyAlignment="1" applyProtection="1">
      <alignment horizontal="right"/>
    </xf>
    <xf numFmtId="170" fontId="5" fillId="0" borderId="0" xfId="2" applyNumberFormat="1" applyFont="1" applyFill="1" applyBorder="1" applyAlignment="1" applyProtection="1">
      <alignment horizontal="center"/>
    </xf>
    <xf numFmtId="170" fontId="5" fillId="0" borderId="0" xfId="2" applyNumberFormat="1" applyFont="1" applyFill="1" applyBorder="1" applyAlignment="1" applyProtection="1">
      <alignment horizontal="right"/>
    </xf>
    <xf numFmtId="170" fontId="5" fillId="0" borderId="0" xfId="2" quotePrefix="1" applyNumberFormat="1" applyFont="1" applyBorder="1" applyAlignment="1" applyProtection="1">
      <alignment horizontal="left"/>
    </xf>
    <xf numFmtId="170" fontId="5" fillId="0" borderId="0" xfId="2" applyNumberFormat="1" applyFont="1" applyBorder="1" applyAlignment="1" applyProtection="1">
      <alignment horizontal="left"/>
    </xf>
    <xf numFmtId="170" fontId="5" fillId="0" borderId="0" xfId="11" applyNumberFormat="1" applyFont="1" applyBorder="1" applyAlignment="1" applyProtection="1"/>
    <xf numFmtId="170" fontId="5" fillId="0" borderId="1" xfId="12" applyNumberFormat="1" applyFont="1" applyBorder="1" applyAlignment="1" applyProtection="1">
      <alignment horizontal="center" vertical="top" wrapText="1"/>
    </xf>
    <xf numFmtId="170" fontId="5" fillId="0" borderId="1" xfId="12" applyNumberFormat="1" applyFont="1" applyBorder="1" applyAlignment="1" applyProtection="1">
      <alignment horizontal="center" vertical="top"/>
    </xf>
    <xf numFmtId="170" fontId="5" fillId="0" borderId="16" xfId="12" applyNumberFormat="1" applyFont="1" applyBorder="1" applyAlignment="1" applyProtection="1">
      <alignment horizontal="center" vertical="top"/>
    </xf>
    <xf numFmtId="170" fontId="5" fillId="0" borderId="0" xfId="2" applyNumberFormat="1" applyFont="1" applyBorder="1" applyAlignment="1" applyProtection="1">
      <alignment horizontal="center"/>
    </xf>
    <xf numFmtId="9" fontId="5" fillId="0" borderId="0" xfId="2" applyNumberFormat="1" applyFont="1" applyAlignment="1" applyProtection="1">
      <alignment horizontal="center"/>
    </xf>
    <xf numFmtId="9" fontId="5" fillId="0" borderId="0" xfId="13" applyNumberFormat="1" applyFont="1" applyFill="1" applyBorder="1" applyAlignment="1" applyProtection="1">
      <alignment horizontal="center" wrapText="1"/>
    </xf>
    <xf numFmtId="9" fontId="5" fillId="0" borderId="0" xfId="2" applyNumberFormat="1" applyFont="1" applyBorder="1" applyAlignment="1" applyProtection="1">
      <alignment horizontal="center"/>
    </xf>
    <xf numFmtId="170" fontId="4" fillId="0" borderId="0" xfId="2" applyNumberFormat="1" applyFont="1" applyFill="1" applyBorder="1" applyAlignment="1" applyProtection="1">
      <alignment wrapText="1"/>
    </xf>
    <xf numFmtId="1" fontId="5" fillId="0" borderId="0" xfId="2" applyNumberFormat="1" applyFont="1" applyAlignment="1" applyProtection="1">
      <alignment horizontal="center"/>
    </xf>
    <xf numFmtId="1" fontId="5" fillId="0" borderId="0" xfId="2" applyNumberFormat="1" applyFont="1" applyBorder="1" applyAlignment="1" applyProtection="1">
      <alignment wrapText="1"/>
    </xf>
    <xf numFmtId="9" fontId="5" fillId="0" borderId="1" xfId="13" applyNumberFormat="1" applyFont="1" applyBorder="1" applyAlignment="1" applyProtection="1">
      <alignment horizontal="center" vertical="top" wrapText="1"/>
    </xf>
    <xf numFmtId="9" fontId="5" fillId="0" borderId="16" xfId="13" applyNumberFormat="1" applyFont="1" applyBorder="1" applyAlignment="1" applyProtection="1">
      <alignment horizontal="center" vertical="top" wrapText="1"/>
    </xf>
    <xf numFmtId="1" fontId="5" fillId="0" borderId="0" xfId="2" applyNumberFormat="1" applyFont="1" applyBorder="1" applyAlignment="1" applyProtection="1">
      <alignment horizontal="left"/>
    </xf>
    <xf numFmtId="1" fontId="5" fillId="0" borderId="0" xfId="2" applyNumberFormat="1" applyFont="1" applyBorder="1" applyAlignment="1" applyProtection="1">
      <alignment horizontal="center"/>
    </xf>
    <xf numFmtId="166" fontId="5" fillId="0" borderId="0" xfId="1" applyNumberFormat="1" applyFont="1" applyAlignment="1" applyProtection="1">
      <alignment horizontal="center"/>
    </xf>
    <xf numFmtId="166" fontId="5" fillId="0" borderId="0" xfId="1" applyNumberFormat="1" applyFont="1" applyFill="1" applyBorder="1" applyAlignment="1" applyProtection="1">
      <alignment horizontal="center"/>
    </xf>
    <xf numFmtId="166" fontId="5" fillId="0" borderId="16" xfId="1" applyNumberFormat="1" applyFont="1" applyBorder="1" applyAlignment="1" applyProtection="1">
      <alignment horizontal="center" vertical="top" wrapText="1"/>
    </xf>
    <xf numFmtId="9" fontId="5" fillId="0" borderId="0" xfId="5" applyFont="1" applyBorder="1" applyAlignment="1" applyProtection="1">
      <alignment horizontal="center"/>
    </xf>
    <xf numFmtId="9" fontId="5" fillId="0" borderId="0" xfId="5" applyFont="1" applyFill="1" applyBorder="1" applyAlignment="1" applyProtection="1">
      <alignment horizontal="center"/>
    </xf>
    <xf numFmtId="170" fontId="5" fillId="0" borderId="0" xfId="2" applyNumberFormat="1" applyFont="1" applyAlignment="1" applyProtection="1">
      <alignment horizontal="left"/>
    </xf>
    <xf numFmtId="167" fontId="5" fillId="0" borderId="0" xfId="4" applyNumberFormat="1" applyFont="1" applyAlignment="1" applyProtection="1">
      <alignment horizontal="center"/>
    </xf>
    <xf numFmtId="167" fontId="5" fillId="0" borderId="0" xfId="4" applyNumberFormat="1" applyFont="1" applyBorder="1" applyAlignment="1" applyProtection="1">
      <alignment horizontal="center"/>
    </xf>
    <xf numFmtId="0" fontId="5" fillId="0" borderId="1" xfId="14" applyFont="1" applyFill="1" applyBorder="1" applyAlignment="1" applyProtection="1">
      <alignment horizontal="center" vertical="top" wrapText="1"/>
    </xf>
    <xf numFmtId="0" fontId="5" fillId="0" borderId="1" xfId="6" applyFont="1" applyBorder="1" applyAlignment="1" applyProtection="1">
      <alignment vertical="center" wrapText="1"/>
    </xf>
    <xf numFmtId="0" fontId="5" fillId="0" borderId="1" xfId="6" applyFont="1" applyFill="1" applyBorder="1" applyAlignment="1" applyProtection="1">
      <alignment horizontal="left" vertical="top" wrapText="1"/>
    </xf>
    <xf numFmtId="0" fontId="4" fillId="12" borderId="1" xfId="6" applyFont="1" applyFill="1" applyBorder="1" applyAlignment="1" applyProtection="1">
      <alignment horizontal="left" vertical="center" wrapText="1"/>
    </xf>
    <xf numFmtId="0" fontId="4" fillId="12" borderId="1" xfId="6" applyFont="1" applyFill="1" applyBorder="1" applyAlignment="1" applyProtection="1">
      <alignment vertical="center" wrapText="1"/>
    </xf>
    <xf numFmtId="0" fontId="4" fillId="11" borderId="1" xfId="6" applyFont="1" applyFill="1" applyBorder="1" applyAlignment="1" applyProtection="1">
      <alignment vertical="center" wrapText="1"/>
    </xf>
    <xf numFmtId="166" fontId="5" fillId="0" borderId="1" xfId="11" applyNumberFormat="1" applyFont="1" applyBorder="1" applyAlignment="1" applyProtection="1">
      <alignment horizontal="left" vertical="top" wrapText="1"/>
    </xf>
    <xf numFmtId="0" fontId="5" fillId="0" borderId="1" xfId="11" applyNumberFormat="1" applyFont="1" applyBorder="1" applyAlignment="1" applyProtection="1">
      <alignment horizontal="left" vertical="top" wrapText="1"/>
    </xf>
    <xf numFmtId="165" fontId="4" fillId="8" borderId="16" xfId="2" applyFont="1" applyFill="1" applyBorder="1" applyAlignment="1" applyProtection="1">
      <alignment horizontal="left" vertical="center" wrapText="1"/>
    </xf>
    <xf numFmtId="0" fontId="5" fillId="0" borderId="16" xfId="6" applyFont="1" applyFill="1" applyBorder="1" applyAlignment="1" applyProtection="1">
      <alignment horizontal="left" vertical="top" wrapText="1"/>
    </xf>
    <xf numFmtId="170" fontId="5" fillId="0" borderId="16" xfId="12" applyNumberFormat="1" applyFont="1" applyBorder="1" applyAlignment="1" applyProtection="1">
      <alignment horizontal="left" vertical="top" wrapText="1"/>
    </xf>
    <xf numFmtId="170" fontId="5" fillId="0" borderId="0" xfId="6" quotePrefix="1" applyNumberFormat="1" applyFont="1" applyBorder="1" applyAlignment="1" applyProtection="1">
      <alignment horizontal="left" vertical="center"/>
    </xf>
    <xf numFmtId="0" fontId="5" fillId="0" borderId="1" xfId="6" applyFont="1" applyBorder="1" applyAlignment="1" applyProtection="1">
      <alignment vertical="top" wrapText="1"/>
    </xf>
    <xf numFmtId="167" fontId="5" fillId="0" borderId="1" xfId="4" applyNumberFormat="1" applyFont="1" applyBorder="1" applyAlignment="1" applyProtection="1">
      <alignment horizontal="center" vertical="top" wrapText="1"/>
    </xf>
    <xf numFmtId="167" fontId="5" fillId="0" borderId="16" xfId="4" applyNumberFormat="1" applyFont="1" applyBorder="1" applyAlignment="1" applyProtection="1">
      <alignment horizontal="center" vertical="top" wrapText="1"/>
    </xf>
    <xf numFmtId="167" fontId="5" fillId="0" borderId="1" xfId="4" applyNumberFormat="1" applyFont="1" applyBorder="1" applyAlignment="1" applyProtection="1">
      <alignment horizontal="center" vertical="top"/>
    </xf>
    <xf numFmtId="167" fontId="5" fillId="0" borderId="16" xfId="4" applyNumberFormat="1" applyFont="1" applyBorder="1" applyAlignment="1" applyProtection="1">
      <alignment horizontal="center" vertical="top"/>
    </xf>
    <xf numFmtId="165" fontId="5" fillId="0" borderId="0" xfId="2" applyFont="1" applyAlignment="1" applyProtection="1">
      <alignment horizontal="left" vertical="center" wrapText="1"/>
    </xf>
    <xf numFmtId="165" fontId="4" fillId="8" borderId="1" xfId="2" quotePrefix="1" applyFont="1" applyFill="1" applyBorder="1" applyAlignment="1" applyProtection="1">
      <alignment horizontal="left" vertical="center" wrapText="1"/>
    </xf>
    <xf numFmtId="0" fontId="5" fillId="0" borderId="1" xfId="14" applyFont="1" applyFill="1" applyBorder="1" applyAlignment="1" applyProtection="1">
      <alignment horizontal="left" vertical="top" wrapText="1"/>
    </xf>
    <xf numFmtId="165" fontId="5" fillId="0" borderId="1" xfId="2" quotePrefix="1" applyFont="1" applyBorder="1" applyAlignment="1" applyProtection="1">
      <alignment horizontal="center" vertical="top" wrapText="1"/>
    </xf>
    <xf numFmtId="165" fontId="4" fillId="0" borderId="1" xfId="2" applyFont="1" applyFill="1" applyBorder="1" applyAlignment="1" applyProtection="1">
      <alignment horizontal="left" vertical="center" wrapText="1"/>
    </xf>
    <xf numFmtId="165" fontId="4" fillId="0" borderId="2" xfId="2" applyFont="1" applyFill="1" applyBorder="1" applyAlignment="1" applyProtection="1">
      <alignment horizontal="left" vertical="center" wrapText="1"/>
    </xf>
    <xf numFmtId="165" fontId="4" fillId="0" borderId="1" xfId="2" quotePrefix="1" applyFont="1" applyFill="1" applyBorder="1" applyAlignment="1" applyProtection="1">
      <alignment horizontal="left" vertical="center" wrapText="1"/>
    </xf>
    <xf numFmtId="165" fontId="4" fillId="0" borderId="16" xfId="2" applyFont="1" applyFill="1" applyBorder="1" applyAlignment="1" applyProtection="1">
      <alignment horizontal="left" vertical="center" wrapText="1"/>
    </xf>
    <xf numFmtId="172" fontId="5" fillId="0" borderId="1" xfId="4" applyNumberFormat="1" applyFont="1" applyBorder="1" applyAlignment="1" applyProtection="1">
      <alignment horizontal="center" vertical="top"/>
    </xf>
    <xf numFmtId="172" fontId="5" fillId="0" borderId="1" xfId="4" applyNumberFormat="1" applyFont="1" applyBorder="1" applyAlignment="1" applyProtection="1">
      <alignment horizontal="center" vertical="top" wrapText="1"/>
    </xf>
    <xf numFmtId="170" fontId="4" fillId="16" borderId="1" xfId="2" applyNumberFormat="1" applyFont="1" applyFill="1" applyBorder="1" applyAlignment="1" applyProtection="1">
      <alignment horizontal="center" wrapText="1"/>
    </xf>
    <xf numFmtId="170" fontId="4" fillId="19" borderId="1" xfId="2" applyNumberFormat="1" applyFont="1" applyFill="1" applyBorder="1" applyAlignment="1" applyProtection="1">
      <alignment horizontal="center" wrapText="1"/>
    </xf>
    <xf numFmtId="165" fontId="5" fillId="0" borderId="0" xfId="2" applyFont="1" applyBorder="1" applyAlignment="1" applyProtection="1">
      <alignment vertical="top" wrapText="1"/>
    </xf>
    <xf numFmtId="165" fontId="4" fillId="7" borderId="38" xfId="2" applyFont="1" applyFill="1" applyBorder="1" applyAlignment="1" applyProtection="1">
      <alignment vertical="center" wrapText="1"/>
    </xf>
    <xf numFmtId="165" fontId="4" fillId="7" borderId="39" xfId="2" applyFont="1" applyFill="1" applyBorder="1" applyAlignment="1" applyProtection="1">
      <alignment vertical="center" wrapText="1"/>
    </xf>
    <xf numFmtId="165" fontId="4" fillId="7" borderId="2" xfId="2" applyFont="1" applyFill="1" applyBorder="1" applyAlignment="1" applyProtection="1">
      <alignment horizontal="left" vertical="center" wrapText="1"/>
    </xf>
    <xf numFmtId="165" fontId="4" fillId="0" borderId="38" xfId="2" applyFont="1" applyFill="1" applyBorder="1" applyAlignment="1" applyProtection="1">
      <alignment vertical="center" wrapText="1"/>
    </xf>
    <xf numFmtId="167" fontId="5" fillId="0" borderId="39" xfId="4" applyNumberFormat="1" applyFont="1" applyBorder="1" applyAlignment="1" applyProtection="1">
      <alignment horizontal="left" vertical="top"/>
    </xf>
    <xf numFmtId="164" fontId="5" fillId="0" borderId="0" xfId="2" applyNumberFormat="1" applyFont="1" applyAlignment="1" applyProtection="1">
      <alignment horizontal="center"/>
    </xf>
    <xf numFmtId="164" fontId="5" fillId="0" borderId="1" xfId="1" applyNumberFormat="1" applyFont="1" applyBorder="1" applyAlignment="1" applyProtection="1">
      <alignment horizontal="center" vertical="top" wrapText="1"/>
    </xf>
    <xf numFmtId="164" fontId="5" fillId="0" borderId="0" xfId="2" applyNumberFormat="1" applyFont="1" applyBorder="1" applyAlignment="1" applyProtection="1">
      <alignment wrapText="1"/>
    </xf>
    <xf numFmtId="1" fontId="5" fillId="0" borderId="1" xfId="1" applyNumberFormat="1" applyFont="1" applyBorder="1" applyAlignment="1" applyProtection="1">
      <alignment horizontal="center" vertical="top" wrapText="1"/>
    </xf>
    <xf numFmtId="165" fontId="5" fillId="0" borderId="16" xfId="2" applyFont="1" applyFill="1" applyBorder="1" applyAlignment="1" applyProtection="1">
      <alignment horizontal="left" vertical="top" wrapText="1"/>
    </xf>
    <xf numFmtId="168" fontId="5" fillId="0" borderId="0" xfId="5" applyNumberFormat="1" applyFont="1" applyFill="1" applyBorder="1" applyAlignment="1" applyProtection="1">
      <alignment horizontal="center" wrapText="1"/>
    </xf>
    <xf numFmtId="9" fontId="5" fillId="0" borderId="1" xfId="5" applyFont="1" applyBorder="1" applyAlignment="1" applyProtection="1">
      <alignment horizontal="center" vertical="top" wrapText="1"/>
    </xf>
    <xf numFmtId="165" fontId="5" fillId="0" borderId="17" xfId="2" applyFont="1" applyBorder="1" applyAlignment="1" applyProtection="1">
      <alignment horizontal="left" vertical="top" wrapText="1"/>
    </xf>
    <xf numFmtId="165" fontId="5" fillId="0" borderId="17" xfId="2" applyFont="1" applyBorder="1" applyAlignment="1" applyProtection="1">
      <alignment horizontal="left" vertical="top"/>
    </xf>
    <xf numFmtId="165" fontId="5" fillId="0" borderId="1" xfId="2" quotePrefix="1" applyFont="1" applyBorder="1" applyAlignment="1" applyProtection="1">
      <alignment horizontal="left" vertical="top" wrapText="1"/>
    </xf>
    <xf numFmtId="165" fontId="5" fillId="0" borderId="17" xfId="2" quotePrefix="1" applyFont="1" applyBorder="1" applyAlignment="1" applyProtection="1">
      <alignment horizontal="left" vertical="top" wrapText="1"/>
    </xf>
    <xf numFmtId="167" fontId="5" fillId="0" borderId="38" xfId="4" applyNumberFormat="1" applyFont="1" applyBorder="1" applyAlignment="1" applyProtection="1">
      <alignment horizontal="center" vertical="top" wrapText="1"/>
    </xf>
    <xf numFmtId="167" fontId="5" fillId="0" borderId="39" xfId="4" applyNumberFormat="1" applyFont="1" applyBorder="1" applyAlignment="1" applyProtection="1">
      <alignment horizontal="center" vertical="top" wrapText="1"/>
    </xf>
    <xf numFmtId="167" fontId="5" fillId="0" borderId="1" xfId="4" applyNumberFormat="1" applyFont="1" applyFill="1" applyBorder="1" applyAlignment="1" applyProtection="1">
      <alignment horizontal="center" vertical="top" wrapText="1"/>
    </xf>
    <xf numFmtId="0" fontId="5" fillId="0" borderId="17" xfId="6" applyFont="1" applyFill="1" applyBorder="1" applyAlignment="1" applyProtection="1">
      <alignment horizontal="left" vertical="top" wrapText="1"/>
    </xf>
    <xf numFmtId="165" fontId="5" fillId="0" borderId="17" xfId="2" applyFont="1" applyBorder="1" applyAlignment="1" applyProtection="1">
      <alignment horizontal="center" vertical="top" wrapText="1"/>
    </xf>
    <xf numFmtId="170" fontId="5" fillId="0" borderId="16" xfId="12" applyNumberFormat="1" applyFont="1" applyBorder="1" applyAlignment="1" applyProtection="1">
      <alignment horizontal="center" vertical="top" wrapText="1"/>
    </xf>
    <xf numFmtId="0" fontId="5" fillId="0" borderId="16" xfId="6" applyFont="1" applyFill="1" applyBorder="1" applyAlignment="1" applyProtection="1">
      <alignment horizontal="center" vertical="top" wrapText="1"/>
    </xf>
    <xf numFmtId="0" fontId="5" fillId="0" borderId="20" xfId="6" applyFont="1" applyFill="1" applyBorder="1" applyAlignment="1" applyProtection="1">
      <alignment horizontal="center" vertical="top" wrapText="1"/>
    </xf>
    <xf numFmtId="0" fontId="5" fillId="0" borderId="0" xfId="6" applyFont="1" applyBorder="1" applyProtection="1"/>
    <xf numFmtId="1" fontId="5" fillId="0" borderId="0" xfId="6" applyNumberFormat="1" applyFont="1" applyBorder="1" applyProtection="1"/>
    <xf numFmtId="170" fontId="5" fillId="0" borderId="0" xfId="6" applyNumberFormat="1" applyFont="1" applyBorder="1" applyAlignment="1" applyProtection="1">
      <alignment vertical="center"/>
    </xf>
    <xf numFmtId="170" fontId="5" fillId="0" borderId="0" xfId="6" applyNumberFormat="1" applyFont="1" applyBorder="1" applyAlignment="1" applyProtection="1">
      <alignment horizontal="left" vertical="center"/>
    </xf>
    <xf numFmtId="0" fontId="5" fillId="0" borderId="0" xfId="6" applyFont="1" applyBorder="1" applyAlignment="1" applyProtection="1">
      <alignment horizontal="center" wrapText="1"/>
    </xf>
    <xf numFmtId="43" fontId="5" fillId="0" borderId="0" xfId="1" applyFont="1" applyBorder="1" applyProtection="1"/>
    <xf numFmtId="9" fontId="5" fillId="0" borderId="0" xfId="6" applyNumberFormat="1" applyFont="1" applyBorder="1" applyProtection="1"/>
    <xf numFmtId="164" fontId="5" fillId="0" borderId="0" xfId="14" applyNumberFormat="1" applyFont="1" applyBorder="1" applyProtection="1"/>
    <xf numFmtId="170" fontId="5" fillId="0" borderId="0" xfId="0" applyNumberFormat="1" applyFont="1" applyProtection="1"/>
    <xf numFmtId="170" fontId="5" fillId="0" borderId="0" xfId="6" applyNumberFormat="1" applyFont="1" applyBorder="1" applyProtection="1"/>
    <xf numFmtId="9" fontId="5" fillId="0" borderId="0" xfId="6" applyNumberFormat="1" applyFont="1" applyBorder="1" applyAlignment="1" applyProtection="1">
      <alignment horizontal="center"/>
    </xf>
    <xf numFmtId="167" fontId="5" fillId="0" borderId="0" xfId="4" applyNumberFormat="1" applyFont="1" applyBorder="1" applyProtection="1"/>
    <xf numFmtId="9" fontId="5" fillId="0" borderId="0" xfId="0" applyNumberFormat="1" applyFont="1" applyAlignment="1" applyProtection="1">
      <alignment horizontal="center"/>
    </xf>
    <xf numFmtId="1" fontId="5" fillId="0" borderId="0" xfId="0" applyNumberFormat="1" applyFont="1" applyProtection="1"/>
    <xf numFmtId="9" fontId="5" fillId="0" borderId="0" xfId="0" applyNumberFormat="1" applyFont="1" applyProtection="1"/>
    <xf numFmtId="164" fontId="5" fillId="0" borderId="0" xfId="0" applyNumberFormat="1" applyFont="1" applyProtection="1"/>
    <xf numFmtId="1" fontId="5" fillId="0" borderId="0" xfId="0" applyNumberFormat="1" applyFont="1" applyAlignment="1" applyProtection="1">
      <alignment horizontal="center"/>
    </xf>
    <xf numFmtId="167" fontId="5" fillId="0" borderId="0" xfId="4" applyNumberFormat="1" applyFont="1" applyProtection="1"/>
    <xf numFmtId="170" fontId="5" fillId="0" borderId="0" xfId="0" applyNumberFormat="1" applyFont="1" applyAlignment="1" applyProtection="1">
      <alignment horizontal="left"/>
    </xf>
    <xf numFmtId="166" fontId="5" fillId="0" borderId="0" xfId="1" applyNumberFormat="1" applyFont="1" applyBorder="1" applyAlignment="1" applyProtection="1">
      <alignment horizontal="center"/>
    </xf>
    <xf numFmtId="173" fontId="5" fillId="0" borderId="0" xfId="2" applyNumberFormat="1" applyFont="1" applyBorder="1" applyAlignment="1" applyProtection="1">
      <alignment horizontal="center"/>
    </xf>
    <xf numFmtId="43" fontId="5" fillId="0" borderId="16" xfId="1" applyFont="1" applyBorder="1" applyAlignment="1" applyProtection="1">
      <alignment horizontal="center" vertical="top" wrapText="1"/>
    </xf>
    <xf numFmtId="1" fontId="5" fillId="0" borderId="1" xfId="1" applyNumberFormat="1" applyFont="1" applyFill="1" applyBorder="1" applyAlignment="1" applyProtection="1">
      <alignment horizontal="center" vertical="top" wrapText="1"/>
    </xf>
    <xf numFmtId="9" fontId="5" fillId="0" borderId="0" xfId="0" applyNumberFormat="1" applyFont="1" applyBorder="1" applyProtection="1"/>
    <xf numFmtId="2" fontId="5" fillId="0" borderId="1" xfId="1" applyNumberFormat="1" applyFont="1" applyFill="1" applyBorder="1" applyAlignment="1" applyProtection="1">
      <alignment horizontal="center" vertical="top" wrapText="1"/>
    </xf>
    <xf numFmtId="167" fontId="5" fillId="0" borderId="40" xfId="4" applyNumberFormat="1" applyFont="1" applyBorder="1" applyAlignment="1" applyProtection="1">
      <alignment horizontal="center" vertical="top" wrapText="1"/>
    </xf>
    <xf numFmtId="167" fontId="5" fillId="0" borderId="39" xfId="4" applyNumberFormat="1" applyFont="1" applyFill="1" applyBorder="1" applyAlignment="1" applyProtection="1">
      <alignment horizontal="left" vertical="top"/>
    </xf>
    <xf numFmtId="170" fontId="4" fillId="10" borderId="1" xfId="2" applyNumberFormat="1" applyFont="1" applyFill="1" applyBorder="1" applyAlignment="1" applyProtection="1">
      <alignment horizontal="center" wrapText="1"/>
    </xf>
    <xf numFmtId="171" fontId="5" fillId="0" borderId="1" xfId="1" applyNumberFormat="1" applyFont="1" applyBorder="1" applyAlignment="1" applyProtection="1">
      <alignment horizontal="center" vertical="top" wrapText="1"/>
    </xf>
    <xf numFmtId="164" fontId="5" fillId="0" borderId="22" xfId="1" applyNumberFormat="1" applyFont="1" applyBorder="1" applyAlignment="1" applyProtection="1">
      <alignment horizontal="center" vertical="top" wrapText="1"/>
    </xf>
    <xf numFmtId="166" fontId="5" fillId="0" borderId="40" xfId="1" applyNumberFormat="1" applyFont="1" applyBorder="1" applyAlignment="1" applyProtection="1">
      <alignment horizontal="center" vertical="top" wrapText="1"/>
    </xf>
    <xf numFmtId="164" fontId="5" fillId="0" borderId="40" xfId="1" applyNumberFormat="1" applyFont="1" applyBorder="1" applyAlignment="1" applyProtection="1">
      <alignment horizontal="center" vertical="top" wrapText="1"/>
    </xf>
    <xf numFmtId="170" fontId="13" fillId="0" borderId="0" xfId="6" quotePrefix="1" applyNumberFormat="1" applyFont="1" applyBorder="1" applyAlignment="1" applyProtection="1">
      <alignment horizontal="left" vertical="center"/>
    </xf>
    <xf numFmtId="170" fontId="13" fillId="0" borderId="0" xfId="2" applyNumberFormat="1" applyFont="1" applyBorder="1" applyAlignment="1" applyProtection="1">
      <alignment horizontal="left"/>
    </xf>
    <xf numFmtId="165" fontId="5" fillId="0" borderId="0" xfId="2" applyFont="1" applyFill="1" applyAlignment="1" applyProtection="1">
      <alignment horizontal="left" vertical="center" indent="2"/>
    </xf>
    <xf numFmtId="0" fontId="5" fillId="0" borderId="0" xfId="6" applyFont="1" applyAlignment="1" applyProtection="1">
      <alignment horizontal="left" indent="2"/>
    </xf>
    <xf numFmtId="170" fontId="5" fillId="0" borderId="0" xfId="2" quotePrefix="1" applyNumberFormat="1" applyFont="1" applyBorder="1" applyAlignment="1" applyProtection="1">
      <alignment vertical="top" wrapText="1"/>
    </xf>
    <xf numFmtId="165" fontId="5" fillId="0" borderId="4" xfId="2" applyFont="1" applyBorder="1" applyAlignment="1" applyProtection="1">
      <alignment horizontal="center"/>
    </xf>
    <xf numFmtId="164" fontId="5" fillId="0" borderId="0" xfId="2" applyNumberFormat="1" applyFont="1" applyBorder="1" applyAlignment="1" applyProtection="1">
      <alignment horizontal="center"/>
    </xf>
    <xf numFmtId="165" fontId="5" fillId="0" borderId="5" xfId="2" applyFont="1" applyBorder="1" applyAlignment="1" applyProtection="1">
      <alignment horizontal="left" vertical="top"/>
    </xf>
    <xf numFmtId="1" fontId="5" fillId="0" borderId="0" xfId="0" applyNumberFormat="1" applyFont="1" applyBorder="1" applyAlignment="1" applyProtection="1">
      <alignment horizontal="center"/>
    </xf>
    <xf numFmtId="170" fontId="5" fillId="0" borderId="0" xfId="0" applyNumberFormat="1" applyFont="1" applyBorder="1" applyProtection="1"/>
    <xf numFmtId="165" fontId="13" fillId="0" borderId="0" xfId="2" applyFont="1" applyBorder="1" applyAlignment="1" applyProtection="1">
      <alignment horizontal="center" vertical="top"/>
    </xf>
    <xf numFmtId="1" fontId="5" fillId="0" borderId="0" xfId="0" applyNumberFormat="1" applyFont="1" applyBorder="1" applyProtection="1"/>
    <xf numFmtId="165" fontId="5" fillId="0" borderId="0" xfId="2" applyFont="1" applyFill="1" applyBorder="1" applyAlignment="1" applyProtection="1">
      <alignment horizontal="left" vertical="center" wrapText="1"/>
    </xf>
    <xf numFmtId="1" fontId="5" fillId="0" borderId="0" xfId="6" applyNumberFormat="1" applyFont="1" applyBorder="1" applyAlignment="1" applyProtection="1">
      <alignment horizontal="center"/>
    </xf>
    <xf numFmtId="0" fontId="5" fillId="0" borderId="0" xfId="6" applyFont="1" applyBorder="1" applyAlignment="1" applyProtection="1">
      <alignment vertical="top" wrapText="1"/>
    </xf>
    <xf numFmtId="1" fontId="5" fillId="0" borderId="0" xfId="6" applyNumberFormat="1" applyFont="1" applyBorder="1" applyAlignment="1" applyProtection="1">
      <alignment vertical="top" wrapText="1"/>
    </xf>
    <xf numFmtId="164" fontId="5" fillId="0" borderId="0" xfId="0" applyNumberFormat="1" applyFont="1" applyBorder="1" applyProtection="1"/>
    <xf numFmtId="0" fontId="8" fillId="0" borderId="0" xfId="0" applyFont="1" applyFill="1" applyBorder="1" applyAlignment="1" applyProtection="1">
      <alignment vertical="center" wrapText="1" readingOrder="1"/>
    </xf>
    <xf numFmtId="165" fontId="8" fillId="0" borderId="0" xfId="2" applyFont="1" applyBorder="1" applyAlignment="1" applyProtection="1">
      <alignment horizontal="left" vertical="top"/>
    </xf>
    <xf numFmtId="165" fontId="5" fillId="0" borderId="6" xfId="2" applyFont="1" applyBorder="1" applyAlignment="1" applyProtection="1">
      <alignment horizontal="center"/>
    </xf>
    <xf numFmtId="0" fontId="5" fillId="0" borderId="7" xfId="0" applyFont="1" applyBorder="1" applyProtection="1"/>
    <xf numFmtId="0" fontId="5" fillId="0" borderId="7" xfId="6" applyFont="1" applyBorder="1" applyProtection="1"/>
    <xf numFmtId="165" fontId="5" fillId="0" borderId="7" xfId="2" applyFont="1" applyBorder="1" applyAlignment="1" applyProtection="1">
      <alignment horizontal="center" vertical="top"/>
    </xf>
    <xf numFmtId="165" fontId="5" fillId="0" borderId="7" xfId="2" applyFont="1" applyBorder="1" applyAlignment="1" applyProtection="1">
      <alignment horizontal="left" vertical="top"/>
    </xf>
    <xf numFmtId="166" fontId="5" fillId="0" borderId="7" xfId="1" applyNumberFormat="1" applyFont="1" applyBorder="1" applyAlignment="1" applyProtection="1">
      <alignment horizontal="center"/>
    </xf>
    <xf numFmtId="1" fontId="5" fillId="0" borderId="7" xfId="0" applyNumberFormat="1" applyFont="1" applyBorder="1" applyAlignment="1" applyProtection="1">
      <alignment horizontal="center"/>
    </xf>
    <xf numFmtId="170" fontId="5" fillId="0" borderId="7" xfId="0" applyNumberFormat="1" applyFont="1" applyBorder="1" applyProtection="1"/>
    <xf numFmtId="9" fontId="5" fillId="0" borderId="7" xfId="0" applyNumberFormat="1" applyFont="1" applyBorder="1" applyProtection="1"/>
    <xf numFmtId="170" fontId="5" fillId="0" borderId="7" xfId="2" applyNumberFormat="1" applyFont="1" applyBorder="1" applyAlignment="1" applyProtection="1">
      <alignment horizontal="center"/>
    </xf>
    <xf numFmtId="170" fontId="5" fillId="0" borderId="7" xfId="2" applyNumberFormat="1" applyFont="1" applyBorder="1" applyAlignment="1" applyProtection="1">
      <alignment horizontal="left"/>
    </xf>
    <xf numFmtId="165" fontId="8" fillId="0" borderId="7" xfId="2" applyFont="1" applyBorder="1" applyAlignment="1" applyProtection="1">
      <alignment horizontal="left" vertical="top"/>
    </xf>
    <xf numFmtId="165" fontId="5" fillId="0" borderId="8" xfId="2" applyFont="1" applyBorder="1" applyAlignment="1" applyProtection="1">
      <alignment horizontal="left" vertical="top"/>
    </xf>
    <xf numFmtId="165" fontId="5" fillId="0" borderId="40" xfId="2" applyFont="1" applyBorder="1" applyAlignment="1" applyProtection="1">
      <alignment horizontal="center" vertical="top" wrapText="1"/>
    </xf>
    <xf numFmtId="170" fontId="5" fillId="0" borderId="0" xfId="0" quotePrefix="1" applyNumberFormat="1" applyFont="1" applyBorder="1" applyProtection="1"/>
    <xf numFmtId="0" fontId="5" fillId="0" borderId="0" xfId="1" applyNumberFormat="1" applyFont="1" applyBorder="1" applyAlignment="1" applyProtection="1">
      <alignment horizontal="right"/>
    </xf>
    <xf numFmtId="170" fontId="5" fillId="0" borderId="0" xfId="0" applyNumberFormat="1" applyFont="1" applyBorder="1" applyAlignment="1" applyProtection="1">
      <alignment vertical="top" wrapText="1"/>
    </xf>
    <xf numFmtId="0" fontId="8" fillId="0" borderId="0" xfId="0" applyFont="1" applyBorder="1" applyAlignment="1" applyProtection="1">
      <alignment vertical="top" wrapText="1" readingOrder="1"/>
    </xf>
    <xf numFmtId="170" fontId="5" fillId="0" borderId="0" xfId="0" applyNumberFormat="1" applyFont="1" applyFill="1" applyProtection="1"/>
    <xf numFmtId="165" fontId="5" fillId="0" borderId="0" xfId="2" applyFont="1" applyFill="1" applyBorder="1" applyAlignment="1" applyProtection="1">
      <alignment horizontal="left" vertical="top"/>
    </xf>
    <xf numFmtId="167" fontId="5" fillId="0" borderId="1" xfId="4" applyNumberFormat="1" applyFont="1" applyFill="1" applyBorder="1" applyAlignment="1" applyProtection="1">
      <alignment horizontal="center" vertical="top"/>
    </xf>
    <xf numFmtId="168" fontId="5" fillId="0" borderId="1" xfId="5" applyNumberFormat="1" applyFont="1" applyFill="1" applyBorder="1" applyAlignment="1" applyProtection="1">
      <alignment horizontal="center" vertical="top" wrapText="1"/>
    </xf>
    <xf numFmtId="165" fontId="5" fillId="25" borderId="0" xfId="2" applyFont="1" applyFill="1" applyBorder="1" applyAlignment="1" applyProtection="1">
      <alignment horizontal="center"/>
    </xf>
    <xf numFmtId="0" fontId="5" fillId="0" borderId="7" xfId="0" applyFont="1" applyBorder="1" applyAlignment="1" applyProtection="1">
      <alignment wrapText="1"/>
    </xf>
    <xf numFmtId="0" fontId="8" fillId="0" borderId="0" xfId="0" applyFont="1" applyBorder="1" applyAlignment="1" applyProtection="1">
      <alignment vertical="center" wrapText="1" readingOrder="1"/>
    </xf>
    <xf numFmtId="0" fontId="8" fillId="0" borderId="0" xfId="0" applyFont="1" applyFill="1" applyBorder="1" applyAlignment="1" applyProtection="1">
      <alignment vertical="center" readingOrder="1"/>
    </xf>
    <xf numFmtId="0" fontId="8" fillId="0" borderId="0" xfId="0" applyFont="1" applyFill="1" applyBorder="1" applyAlignment="1" applyProtection="1">
      <alignment horizontal="left" vertical="center" readingOrder="1"/>
    </xf>
    <xf numFmtId="0" fontId="8" fillId="0" borderId="7" xfId="0" applyFont="1" applyBorder="1" applyAlignment="1" applyProtection="1">
      <alignment vertical="center" wrapText="1" readingOrder="1"/>
    </xf>
    <xf numFmtId="9" fontId="5" fillId="0" borderId="41" xfId="13" applyNumberFormat="1" applyFont="1" applyBorder="1" applyAlignment="1" applyProtection="1">
      <alignment horizontal="center" vertical="top" wrapText="1"/>
    </xf>
    <xf numFmtId="1" fontId="13" fillId="0" borderId="0" xfId="0" applyNumberFormat="1" applyFont="1" applyAlignment="1" applyProtection="1">
      <alignment horizontal="center"/>
    </xf>
    <xf numFmtId="165" fontId="13" fillId="0" borderId="0" xfId="2" applyFont="1" applyAlignment="1" applyProtection="1">
      <alignment horizontal="center" vertical="top"/>
    </xf>
    <xf numFmtId="1" fontId="4" fillId="0" borderId="0" xfId="2" applyNumberFormat="1" applyFont="1" applyBorder="1" applyAlignment="1" applyProtection="1">
      <alignment horizontal="left"/>
    </xf>
    <xf numFmtId="1" fontId="4" fillId="0" borderId="10" xfId="2" applyNumberFormat="1" applyFont="1" applyFill="1" applyBorder="1" applyAlignment="1" applyProtection="1">
      <alignment horizontal="center" wrapText="1"/>
    </xf>
    <xf numFmtId="166" fontId="4" fillId="0" borderId="10" xfId="1" applyNumberFormat="1" applyFont="1" applyFill="1" applyBorder="1" applyAlignment="1" applyProtection="1">
      <alignment horizontal="center" wrapText="1"/>
    </xf>
    <xf numFmtId="167" fontId="5" fillId="0" borderId="42" xfId="4" applyNumberFormat="1" applyFont="1" applyBorder="1" applyAlignment="1" applyProtection="1">
      <alignment horizontal="center" vertical="top" wrapText="1"/>
    </xf>
    <xf numFmtId="167" fontId="5" fillId="0" borderId="16" xfId="4" applyNumberFormat="1" applyFont="1" applyFill="1" applyBorder="1" applyAlignment="1" applyProtection="1">
      <alignment horizontal="center" vertical="top" wrapText="1"/>
    </xf>
    <xf numFmtId="172" fontId="5" fillId="0" borderId="1" xfId="4" applyNumberFormat="1" applyFont="1" applyFill="1" applyBorder="1" applyAlignment="1" applyProtection="1">
      <alignment horizontal="center" vertical="top" wrapText="1"/>
    </xf>
    <xf numFmtId="0" fontId="23" fillId="0" borderId="46" xfId="0" applyFont="1" applyBorder="1"/>
    <xf numFmtId="165" fontId="23" fillId="0" borderId="0" xfId="2" applyFont="1" applyFill="1" applyBorder="1" applyAlignment="1" applyProtection="1">
      <alignment horizontal="left" vertical="center" wrapText="1"/>
    </xf>
    <xf numFmtId="165" fontId="23" fillId="0" borderId="1" xfId="2" applyFont="1" applyFill="1" applyBorder="1" applyAlignment="1" applyProtection="1">
      <alignment horizontal="center" vertical="center" wrapText="1"/>
    </xf>
    <xf numFmtId="165" fontId="25" fillId="0" borderId="0" xfId="2" applyFont="1" applyFill="1" applyBorder="1" applyAlignment="1" applyProtection="1">
      <alignment horizontal="left" vertical="center" wrapText="1"/>
    </xf>
    <xf numFmtId="165" fontId="25" fillId="0" borderId="46" xfId="2" applyFont="1" applyFill="1" applyBorder="1" applyAlignment="1" applyProtection="1">
      <alignment horizontal="left" vertical="center" wrapText="1"/>
    </xf>
    <xf numFmtId="165" fontId="25" fillId="0" borderId="11" xfId="2" applyFont="1" applyFill="1" applyBorder="1" applyAlignment="1" applyProtection="1">
      <alignment horizontal="left" vertical="center" wrapText="1"/>
    </xf>
    <xf numFmtId="0" fontId="24" fillId="0" borderId="0" xfId="0" applyFont="1"/>
    <xf numFmtId="0" fontId="23" fillId="0" borderId="0" xfId="0" applyFont="1"/>
    <xf numFmtId="0" fontId="23" fillId="0" borderId="45" xfId="0" applyFont="1" applyBorder="1"/>
    <xf numFmtId="0" fontId="23" fillId="0" borderId="0" xfId="0" applyFont="1" applyFill="1"/>
    <xf numFmtId="0" fontId="23" fillId="0" borderId="46" xfId="0" applyFont="1" applyFill="1" applyBorder="1"/>
    <xf numFmtId="0" fontId="23" fillId="0" borderId="0" xfId="0" applyFont="1" applyFill="1" applyBorder="1"/>
    <xf numFmtId="0" fontId="23" fillId="0" borderId="11" xfId="0" applyFont="1" applyFill="1" applyBorder="1"/>
    <xf numFmtId="165" fontId="25" fillId="0" borderId="0" xfId="2" applyFont="1" applyFill="1" applyBorder="1" applyAlignment="1" applyProtection="1">
      <alignment horizontal="center" vertical="center" wrapText="1"/>
    </xf>
    <xf numFmtId="165" fontId="25" fillId="0" borderId="46" xfId="2" applyFont="1" applyFill="1" applyBorder="1" applyAlignment="1" applyProtection="1">
      <alignment horizontal="center" vertical="center" wrapText="1"/>
    </xf>
    <xf numFmtId="165" fontId="23" fillId="0" borderId="46" xfId="2" applyFont="1" applyFill="1" applyBorder="1" applyAlignment="1" applyProtection="1">
      <alignment horizontal="left" vertical="center" wrapText="1"/>
    </xf>
    <xf numFmtId="165" fontId="26" fillId="0" borderId="0" xfId="2" applyFont="1" applyFill="1" applyBorder="1" applyAlignment="1" applyProtection="1">
      <alignment horizontal="left" vertical="center" wrapText="1"/>
    </xf>
    <xf numFmtId="165" fontId="26" fillId="0" borderId="46" xfId="2" applyFont="1" applyFill="1" applyBorder="1" applyAlignment="1" applyProtection="1">
      <alignment horizontal="left" vertical="center" wrapText="1"/>
    </xf>
    <xf numFmtId="165" fontId="26" fillId="0" borderId="11" xfId="2" applyFont="1" applyFill="1" applyBorder="1" applyAlignment="1" applyProtection="1">
      <alignment horizontal="left" vertical="center" wrapText="1"/>
    </xf>
    <xf numFmtId="165" fontId="25" fillId="0" borderId="0" xfId="2" applyFont="1" applyFill="1" applyBorder="1" applyAlignment="1" applyProtection="1">
      <alignment vertical="center" wrapText="1"/>
    </xf>
    <xf numFmtId="165" fontId="25" fillId="0" borderId="46" xfId="2" applyFont="1" applyFill="1" applyBorder="1" applyAlignment="1" applyProtection="1">
      <alignment vertical="center" wrapText="1"/>
    </xf>
    <xf numFmtId="165" fontId="23" fillId="0" borderId="0" xfId="2" applyFont="1" applyFill="1" applyBorder="1" applyAlignment="1" applyProtection="1">
      <alignment horizontal="center" vertical="center" textRotation="90" wrapText="1"/>
    </xf>
    <xf numFmtId="0" fontId="24" fillId="0" borderId="0" xfId="0" applyFont="1" applyFill="1"/>
    <xf numFmtId="0" fontId="23" fillId="0" borderId="47" xfId="0" applyFont="1" applyBorder="1"/>
    <xf numFmtId="0" fontId="23" fillId="0" borderId="10" xfId="0" applyFont="1" applyBorder="1"/>
    <xf numFmtId="0" fontId="23" fillId="0" borderId="10" xfId="0" applyFont="1" applyFill="1" applyBorder="1"/>
    <xf numFmtId="0" fontId="23" fillId="0" borderId="47" xfId="0" applyFont="1" applyFill="1" applyBorder="1"/>
    <xf numFmtId="0" fontId="23" fillId="0" borderId="44" xfId="0" applyFont="1" applyFill="1" applyBorder="1"/>
    <xf numFmtId="0" fontId="27" fillId="0" borderId="0" xfId="0" applyFont="1"/>
    <xf numFmtId="165" fontId="5" fillId="0" borderId="0" xfId="2" applyFont="1" applyBorder="1" applyAlignment="1" applyProtection="1">
      <alignment horizontal="center" vertical="center" wrapText="1"/>
    </xf>
    <xf numFmtId="165" fontId="4" fillId="0" borderId="1" xfId="2" applyFont="1" applyFill="1" applyBorder="1" applyAlignment="1" applyProtection="1">
      <alignment horizontal="center" vertical="center" wrapText="1"/>
    </xf>
    <xf numFmtId="0" fontId="4" fillId="11" borderId="1" xfId="6" applyFont="1" applyFill="1" applyBorder="1" applyAlignment="1" applyProtection="1">
      <alignment horizontal="center" vertical="center" wrapText="1"/>
    </xf>
    <xf numFmtId="165" fontId="4" fillId="0" borderId="1" xfId="2" quotePrefix="1" applyFont="1" applyFill="1" applyBorder="1" applyAlignment="1" applyProtection="1">
      <alignment horizontal="center" vertical="center" wrapText="1"/>
    </xf>
    <xf numFmtId="165" fontId="4" fillId="0" borderId="16" xfId="2" applyFont="1" applyFill="1" applyBorder="1" applyAlignment="1" applyProtection="1">
      <alignment horizontal="center" vertical="center" wrapText="1"/>
    </xf>
    <xf numFmtId="170" fontId="5" fillId="0" borderId="0" xfId="2" quotePrefix="1" applyNumberFormat="1" applyFont="1" applyBorder="1" applyAlignment="1" applyProtection="1">
      <alignment horizontal="center" vertical="top" wrapText="1"/>
    </xf>
    <xf numFmtId="0" fontId="5" fillId="0" borderId="7" xfId="6" applyFont="1" applyBorder="1" applyAlignment="1" applyProtection="1">
      <alignment horizontal="center"/>
    </xf>
    <xf numFmtId="0" fontId="5" fillId="0" borderId="0" xfId="6" applyFont="1" applyBorder="1" applyAlignment="1" applyProtection="1">
      <alignment horizontal="center"/>
    </xf>
    <xf numFmtId="165" fontId="5" fillId="0" borderId="0" xfId="2" applyFont="1" applyAlignment="1" applyProtection="1">
      <alignment horizontal="center" vertical="center" wrapText="1"/>
    </xf>
    <xf numFmtId="0" fontId="8" fillId="0" borderId="0" xfId="0" applyFont="1" applyFill="1" applyBorder="1" applyAlignment="1" applyProtection="1">
      <alignment horizontal="center" vertical="center"/>
    </xf>
    <xf numFmtId="1" fontId="23" fillId="0" borderId="47" xfId="0" applyNumberFormat="1" applyFont="1" applyFill="1" applyBorder="1" applyAlignment="1">
      <alignment horizontal="center"/>
    </xf>
    <xf numFmtId="1" fontId="23" fillId="0" borderId="46" xfId="0" applyNumberFormat="1" applyFont="1" applyFill="1" applyBorder="1"/>
    <xf numFmtId="1" fontId="23" fillId="0" borderId="0" xfId="0" applyNumberFormat="1" applyFont="1" applyFill="1" applyBorder="1"/>
    <xf numFmtId="165" fontId="23" fillId="0" borderId="50" xfId="2" applyFont="1" applyFill="1" applyBorder="1" applyAlignment="1" applyProtection="1">
      <alignment horizontal="center" vertical="center" wrapText="1"/>
    </xf>
    <xf numFmtId="1" fontId="23" fillId="0" borderId="48" xfId="0" applyNumberFormat="1" applyFont="1" applyFill="1" applyBorder="1" applyAlignment="1">
      <alignment horizontal="center"/>
    </xf>
    <xf numFmtId="165" fontId="28" fillId="28" borderId="0" xfId="2" applyFont="1" applyFill="1" applyBorder="1" applyAlignment="1" applyProtection="1">
      <alignment horizontal="left" vertical="center" wrapText="1"/>
    </xf>
    <xf numFmtId="0" fontId="23" fillId="0" borderId="48" xfId="0" applyFont="1" applyFill="1" applyBorder="1" applyAlignment="1">
      <alignment horizontal="center" vertical="center" textRotation="90"/>
    </xf>
    <xf numFmtId="0" fontId="23" fillId="0" borderId="43" xfId="0" applyFont="1" applyFill="1" applyBorder="1" applyAlignment="1">
      <alignment horizontal="center" vertical="center" textRotation="90"/>
    </xf>
    <xf numFmtId="0" fontId="23" fillId="0" borderId="49" xfId="0" applyFont="1" applyFill="1" applyBorder="1" applyAlignment="1">
      <alignment horizontal="center" vertical="center" textRotation="90"/>
    </xf>
    <xf numFmtId="165" fontId="4" fillId="0" borderId="38" xfId="2" applyFont="1" applyFill="1" applyBorder="1" applyAlignment="1" applyProtection="1">
      <alignment horizontal="center" vertical="center" wrapText="1"/>
    </xf>
    <xf numFmtId="165" fontId="4" fillId="0" borderId="39" xfId="2" applyFont="1" applyFill="1" applyBorder="1" applyAlignment="1" applyProtection="1">
      <alignment horizontal="center" vertical="center" wrapText="1"/>
    </xf>
    <xf numFmtId="165" fontId="5" fillId="0" borderId="21" xfId="2" applyFont="1" applyFill="1" applyBorder="1" applyAlignment="1" applyProtection="1">
      <alignment horizontal="center" vertical="top" wrapText="1"/>
    </xf>
    <xf numFmtId="0" fontId="5" fillId="0" borderId="1" xfId="6" applyFont="1" applyBorder="1" applyAlignment="1" applyProtection="1">
      <alignment horizontal="center" vertical="center" wrapText="1"/>
    </xf>
    <xf numFmtId="0" fontId="5" fillId="0" borderId="1" xfId="6" applyFont="1" applyBorder="1" applyAlignment="1" applyProtection="1">
      <alignment horizontal="center" vertical="top" wrapText="1"/>
    </xf>
    <xf numFmtId="0" fontId="5" fillId="0" borderId="0" xfId="0" applyFont="1" applyAlignment="1" applyProtection="1">
      <alignment horizontal="center" wrapText="1"/>
    </xf>
    <xf numFmtId="165" fontId="5" fillId="0" borderId="1" xfId="2" applyFont="1" applyBorder="1" applyAlignment="1" applyProtection="1">
      <alignment horizontal="left" vertical="top" wrapText="1" indent="2"/>
    </xf>
    <xf numFmtId="166" fontId="5" fillId="25" borderId="1" xfId="1" applyNumberFormat="1" applyFont="1" applyFill="1" applyBorder="1" applyAlignment="1" applyProtection="1">
      <alignment horizontal="center" vertical="top" wrapText="1"/>
    </xf>
    <xf numFmtId="1" fontId="5" fillId="30" borderId="1" xfId="1" applyNumberFormat="1" applyFont="1" applyFill="1" applyBorder="1" applyAlignment="1" applyProtection="1">
      <alignment horizontal="center" vertical="top" wrapText="1"/>
    </xf>
    <xf numFmtId="171" fontId="5" fillId="0" borderId="0" xfId="1" applyNumberFormat="1" applyFont="1" applyBorder="1" applyProtection="1"/>
    <xf numFmtId="0" fontId="8" fillId="0" borderId="0" xfId="0" applyFont="1" applyFill="1" applyBorder="1" applyAlignment="1" applyProtection="1">
      <alignment horizontal="center" vertical="center" readingOrder="1"/>
    </xf>
    <xf numFmtId="0" fontId="5" fillId="0" borderId="0" xfId="0" applyFont="1" applyAlignment="1" applyProtection="1">
      <alignment horizontal="center" readingOrder="1"/>
    </xf>
    <xf numFmtId="171" fontId="5" fillId="0" borderId="1" xfId="1" applyNumberFormat="1" applyFont="1" applyFill="1" applyBorder="1" applyAlignment="1" applyProtection="1">
      <alignment horizontal="center" vertical="top" wrapText="1"/>
    </xf>
    <xf numFmtId="164" fontId="5" fillId="0" borderId="1" xfId="1" applyNumberFormat="1" applyFont="1" applyFill="1" applyBorder="1" applyAlignment="1" applyProtection="1">
      <alignment horizontal="center" vertical="top" wrapText="1"/>
    </xf>
    <xf numFmtId="164" fontId="5" fillId="25" borderId="1" xfId="1" applyNumberFormat="1" applyFont="1" applyFill="1" applyBorder="1" applyAlignment="1" applyProtection="1">
      <alignment horizontal="center" vertical="top" wrapText="1"/>
    </xf>
    <xf numFmtId="0" fontId="5" fillId="0" borderId="0" xfId="0" applyFont="1" applyBorder="1" applyAlignment="1" applyProtection="1">
      <alignment horizontal="left" vertical="top" wrapText="1"/>
    </xf>
    <xf numFmtId="0" fontId="8" fillId="0" borderId="0" xfId="0" applyFont="1" applyBorder="1" applyAlignment="1" applyProtection="1">
      <alignment horizontal="left" vertical="center" wrapText="1" readingOrder="1"/>
    </xf>
    <xf numFmtId="1" fontId="5" fillId="0" borderId="0" xfId="6" applyNumberFormat="1" applyFont="1" applyBorder="1" applyAlignment="1" applyProtection="1">
      <alignment horizontal="left" vertical="top" wrapText="1"/>
    </xf>
    <xf numFmtId="165" fontId="5" fillId="0" borderId="1" xfId="2" applyFont="1" applyBorder="1" applyAlignment="1" applyProtection="1">
      <alignment horizontal="left" vertical="top" wrapText="1"/>
    </xf>
    <xf numFmtId="165" fontId="5" fillId="0" borderId="1" xfId="2" applyFont="1" applyBorder="1" applyAlignment="1" applyProtection="1">
      <alignment horizontal="center" vertical="top" wrapText="1"/>
    </xf>
    <xf numFmtId="1" fontId="4" fillId="15" borderId="1" xfId="2" applyNumberFormat="1" applyFont="1" applyFill="1" applyBorder="1" applyAlignment="1" applyProtection="1">
      <alignment horizontal="center" wrapText="1"/>
    </xf>
    <xf numFmtId="165" fontId="4" fillId="15" borderId="2" xfId="2" applyFont="1" applyFill="1" applyBorder="1" applyAlignment="1" applyProtection="1">
      <alignment horizontal="center" wrapText="1"/>
    </xf>
    <xf numFmtId="165" fontId="5" fillId="0" borderId="1" xfId="2" applyFont="1" applyFill="1" applyBorder="1" applyAlignment="1" applyProtection="1">
      <alignment horizontal="left" vertical="top" wrapText="1"/>
    </xf>
    <xf numFmtId="165" fontId="5" fillId="0" borderId="1" xfId="2" applyFont="1" applyFill="1" applyBorder="1" applyAlignment="1" applyProtection="1">
      <alignment horizontal="center" vertical="top" wrapText="1"/>
    </xf>
    <xf numFmtId="165" fontId="4" fillId="8" borderId="1" xfId="2" applyFont="1" applyFill="1" applyBorder="1" applyAlignment="1" applyProtection="1">
      <alignment horizontal="left" vertical="center" wrapText="1"/>
    </xf>
    <xf numFmtId="165" fontId="4" fillId="0" borderId="22" xfId="2" applyFont="1" applyFill="1" applyBorder="1" applyAlignment="1" applyProtection="1">
      <alignment horizontal="center" vertical="center" wrapText="1"/>
    </xf>
    <xf numFmtId="165" fontId="4" fillId="0" borderId="21" xfId="2" applyFont="1" applyFill="1" applyBorder="1" applyAlignment="1" applyProtection="1">
      <alignment horizontal="center" vertical="center" wrapText="1"/>
    </xf>
    <xf numFmtId="165" fontId="4" fillId="0" borderId="2" xfId="2" applyFont="1" applyFill="1" applyBorder="1" applyAlignment="1" applyProtection="1">
      <alignment horizontal="center" vertical="center" wrapText="1"/>
    </xf>
    <xf numFmtId="0" fontId="4" fillId="12" borderId="1" xfId="6" applyFont="1" applyFill="1" applyBorder="1" applyAlignment="1" applyProtection="1">
      <alignment horizontal="center" vertical="center" wrapText="1"/>
    </xf>
    <xf numFmtId="165" fontId="4" fillId="7" borderId="1" xfId="2" applyFont="1" applyFill="1" applyBorder="1" applyAlignment="1" applyProtection="1">
      <alignment horizontal="left" vertical="center" wrapText="1"/>
    </xf>
    <xf numFmtId="165" fontId="5" fillId="0" borderId="0" xfId="2" applyFont="1" applyBorder="1" applyAlignment="1" applyProtection="1">
      <alignment horizontal="left" vertical="center" wrapText="1"/>
    </xf>
    <xf numFmtId="0" fontId="8" fillId="0" borderId="0" xfId="0" applyFont="1" applyFill="1" applyBorder="1" applyAlignment="1" applyProtection="1">
      <alignment horizontal="left" vertical="center" wrapText="1" readingOrder="1"/>
    </xf>
    <xf numFmtId="0" fontId="5" fillId="0" borderId="1" xfId="6" applyFont="1" applyFill="1" applyBorder="1" applyAlignment="1" applyProtection="1">
      <alignment horizontal="center" vertical="top" wrapText="1"/>
    </xf>
    <xf numFmtId="170" fontId="5" fillId="0" borderId="1" xfId="12" applyNumberFormat="1" applyFont="1" applyBorder="1" applyAlignment="1" applyProtection="1">
      <alignment horizontal="left" vertical="top" wrapText="1"/>
    </xf>
    <xf numFmtId="165" fontId="5" fillId="0" borderId="0" xfId="2" applyFont="1" applyBorder="1" applyAlignment="1" applyProtection="1">
      <alignment horizontal="left" vertical="top" wrapText="1"/>
    </xf>
    <xf numFmtId="165" fontId="5" fillId="0" borderId="0" xfId="2" applyFont="1" applyBorder="1" applyAlignment="1" applyProtection="1">
      <alignment vertical="center" wrapText="1"/>
    </xf>
    <xf numFmtId="165" fontId="5" fillId="0" borderId="22" xfId="2" applyFont="1" applyBorder="1" applyAlignment="1" applyProtection="1">
      <alignment horizontal="center" vertical="top" wrapText="1"/>
    </xf>
    <xf numFmtId="165" fontId="5" fillId="0" borderId="22" xfId="2" applyFont="1" applyFill="1" applyBorder="1" applyAlignment="1" applyProtection="1">
      <alignment horizontal="center" vertical="top" wrapText="1"/>
    </xf>
    <xf numFmtId="165" fontId="5" fillId="0" borderId="2" xfId="2" applyFont="1" applyFill="1" applyBorder="1" applyAlignment="1" applyProtection="1">
      <alignment horizontal="center" vertical="top" wrapText="1"/>
    </xf>
    <xf numFmtId="166" fontId="5" fillId="0" borderId="22" xfId="1" applyNumberFormat="1" applyFont="1" applyBorder="1" applyAlignment="1" applyProtection="1">
      <alignment horizontal="center" vertical="top" wrapText="1"/>
    </xf>
    <xf numFmtId="166" fontId="5" fillId="0" borderId="22" xfId="11" applyNumberFormat="1" applyFont="1" applyBorder="1" applyAlignment="1" applyProtection="1">
      <alignment horizontal="center" vertical="top" wrapText="1"/>
    </xf>
    <xf numFmtId="167" fontId="5" fillId="0" borderId="22" xfId="4" applyNumberFormat="1" applyFont="1" applyBorder="1" applyAlignment="1" applyProtection="1">
      <alignment horizontal="center" vertical="top" wrapText="1"/>
    </xf>
    <xf numFmtId="167" fontId="5" fillId="0" borderId="2" xfId="4" applyNumberFormat="1" applyFont="1" applyBorder="1" applyAlignment="1" applyProtection="1">
      <alignment horizontal="center" vertical="top" wrapText="1"/>
    </xf>
    <xf numFmtId="0" fontId="5" fillId="0" borderId="0" xfId="0" applyFont="1" applyBorder="1" applyAlignment="1" applyProtection="1">
      <alignment horizontal="center" vertical="top" wrapText="1"/>
    </xf>
    <xf numFmtId="0" fontId="5" fillId="0" borderId="0" xfId="0" applyFont="1" applyBorder="1" applyAlignment="1" applyProtection="1">
      <alignment horizontal="center"/>
    </xf>
    <xf numFmtId="0" fontId="5" fillId="0" borderId="7" xfId="0" applyFont="1" applyBorder="1" applyAlignment="1" applyProtection="1">
      <alignment horizontal="center"/>
    </xf>
    <xf numFmtId="165" fontId="5" fillId="0" borderId="0" xfId="2" applyFont="1" applyFill="1" applyAlignment="1" applyProtection="1">
      <alignment horizontal="center" vertical="center" wrapText="1"/>
    </xf>
    <xf numFmtId="37" fontId="5" fillId="25" borderId="1" xfId="11" applyNumberFormat="1" applyFont="1" applyFill="1" applyBorder="1" applyAlignment="1" applyProtection="1">
      <alignment horizontal="center" vertical="top" wrapText="1"/>
    </xf>
    <xf numFmtId="174" fontId="5" fillId="25" borderId="1" xfId="11" applyNumberFormat="1" applyFont="1" applyFill="1" applyBorder="1" applyAlignment="1" applyProtection="1">
      <alignment horizontal="center" vertical="top" wrapText="1"/>
    </xf>
    <xf numFmtId="174" fontId="5" fillId="0" borderId="1" xfId="11" applyNumberFormat="1" applyFont="1" applyBorder="1" applyAlignment="1" applyProtection="1">
      <alignment horizontal="center" vertical="top" wrapText="1"/>
    </xf>
    <xf numFmtId="3" fontId="5" fillId="0" borderId="1" xfId="1" applyNumberFormat="1" applyFont="1" applyBorder="1" applyAlignment="1" applyProtection="1">
      <alignment horizontal="center" vertical="top" wrapText="1"/>
    </xf>
    <xf numFmtId="3" fontId="5" fillId="0" borderId="1" xfId="11" applyNumberFormat="1" applyFont="1" applyBorder="1" applyAlignment="1" applyProtection="1">
      <alignment horizontal="center" vertical="top" wrapText="1"/>
    </xf>
    <xf numFmtId="3" fontId="5" fillId="0" borderId="16" xfId="11" applyNumberFormat="1" applyFont="1" applyBorder="1" applyAlignment="1" applyProtection="1">
      <alignment horizontal="center" vertical="top" wrapText="1"/>
    </xf>
    <xf numFmtId="37" fontId="5" fillId="30" borderId="1" xfId="1" applyNumberFormat="1" applyFont="1" applyFill="1" applyBorder="1" applyAlignment="1" applyProtection="1">
      <alignment horizontal="center" vertical="top" wrapText="1"/>
    </xf>
    <xf numFmtId="37" fontId="5" fillId="25" borderId="1" xfId="1" applyNumberFormat="1" applyFont="1" applyFill="1" applyBorder="1" applyAlignment="1" applyProtection="1">
      <alignment horizontal="center" vertical="top" wrapText="1"/>
    </xf>
    <xf numFmtId="37" fontId="5" fillId="0" borderId="1" xfId="1" applyNumberFormat="1" applyFont="1" applyBorder="1" applyAlignment="1" applyProtection="1">
      <alignment horizontal="center" vertical="top" wrapText="1"/>
    </xf>
    <xf numFmtId="37" fontId="5" fillId="0" borderId="1" xfId="1" applyNumberFormat="1" applyFont="1" applyFill="1" applyBorder="1" applyAlignment="1" applyProtection="1">
      <alignment horizontal="center" vertical="top" wrapText="1"/>
    </xf>
    <xf numFmtId="37" fontId="5" fillId="0" borderId="1" xfId="1" quotePrefix="1" applyNumberFormat="1" applyFont="1" applyBorder="1" applyAlignment="1" applyProtection="1">
      <alignment horizontal="center" vertical="top" wrapText="1"/>
    </xf>
    <xf numFmtId="37" fontId="5" fillId="0" borderId="16" xfId="1" applyNumberFormat="1" applyFont="1" applyBorder="1" applyAlignment="1" applyProtection="1">
      <alignment horizontal="center" vertical="top" wrapText="1"/>
    </xf>
    <xf numFmtId="37" fontId="5" fillId="0" borderId="1" xfId="11" applyNumberFormat="1" applyFont="1" applyBorder="1" applyAlignment="1" applyProtection="1">
      <alignment horizontal="center" vertical="top" wrapText="1"/>
    </xf>
    <xf numFmtId="37" fontId="5" fillId="0" borderId="16" xfId="11" applyNumberFormat="1" applyFont="1" applyBorder="1" applyAlignment="1" applyProtection="1">
      <alignment horizontal="center" vertical="top" wrapText="1"/>
    </xf>
    <xf numFmtId="171" fontId="5" fillId="0" borderId="1" xfId="11" applyNumberFormat="1" applyFont="1" applyFill="1" applyBorder="1" applyAlignment="1" applyProtection="1">
      <alignment horizontal="center" vertical="top" wrapText="1"/>
    </xf>
    <xf numFmtId="165" fontId="4" fillId="15" borderId="39" xfId="2" applyFont="1" applyFill="1" applyBorder="1" applyAlignment="1" applyProtection="1">
      <alignment horizontal="center" wrapText="1"/>
    </xf>
    <xf numFmtId="2" fontId="5" fillId="25" borderId="1" xfId="1" applyNumberFormat="1" applyFont="1" applyFill="1" applyBorder="1" applyAlignment="1" applyProtection="1">
      <alignment horizontal="center" vertical="top" wrapText="1"/>
    </xf>
    <xf numFmtId="3" fontId="5" fillId="25" borderId="1" xfId="1" applyNumberFormat="1" applyFont="1" applyFill="1" applyBorder="1" applyAlignment="1" applyProtection="1">
      <alignment horizontal="center" vertical="top" wrapText="1"/>
    </xf>
    <xf numFmtId="167" fontId="5" fillId="25" borderId="1" xfId="4" applyNumberFormat="1" applyFont="1" applyFill="1" applyBorder="1" applyAlignment="1" applyProtection="1">
      <alignment horizontal="center" vertical="top" wrapText="1"/>
    </xf>
    <xf numFmtId="37" fontId="5" fillId="0" borderId="1" xfId="11" applyNumberFormat="1" applyFont="1" applyFill="1" applyBorder="1" applyAlignment="1" applyProtection="1">
      <alignment horizontal="center" vertical="top" wrapText="1"/>
    </xf>
    <xf numFmtId="1" fontId="5" fillId="25" borderId="3" xfId="6" applyNumberFormat="1" applyFont="1" applyFill="1" applyBorder="1" applyAlignment="1" applyProtection="1">
      <alignment horizontal="right"/>
    </xf>
    <xf numFmtId="168" fontId="5" fillId="25" borderId="3" xfId="5" applyNumberFormat="1" applyFont="1" applyFill="1" applyBorder="1" applyAlignment="1" applyProtection="1">
      <alignment horizontal="center" wrapText="1"/>
    </xf>
    <xf numFmtId="10" fontId="5" fillId="25" borderId="3" xfId="5" applyNumberFormat="1" applyFont="1" applyFill="1" applyBorder="1" applyAlignment="1" applyProtection="1">
      <alignment horizontal="right"/>
    </xf>
    <xf numFmtId="166" fontId="5" fillId="25" borderId="3" xfId="1" applyNumberFormat="1" applyFont="1" applyFill="1" applyBorder="1" applyAlignment="1" applyProtection="1"/>
    <xf numFmtId="166" fontId="5" fillId="0" borderId="1" xfId="1" applyNumberFormat="1" applyFont="1" applyFill="1" applyBorder="1" applyAlignment="1" applyProtection="1">
      <alignment horizontal="center" vertical="top" wrapText="1"/>
    </xf>
    <xf numFmtId="9" fontId="5" fillId="0" borderId="1" xfId="5" applyFont="1" applyFill="1" applyBorder="1" applyAlignment="1" applyProtection="1">
      <alignment horizontal="center" vertical="top" wrapText="1"/>
    </xf>
    <xf numFmtId="9" fontId="5" fillId="0" borderId="1" xfId="12" applyNumberFormat="1" applyFont="1" applyBorder="1" applyAlignment="1" applyProtection="1">
      <alignment horizontal="center" vertical="top" wrapText="1"/>
    </xf>
    <xf numFmtId="10" fontId="5" fillId="0" borderId="1" xfId="13" applyNumberFormat="1" applyFont="1" applyBorder="1" applyAlignment="1" applyProtection="1">
      <alignment horizontal="left" vertical="top" wrapText="1"/>
    </xf>
    <xf numFmtId="10" fontId="5" fillId="0" borderId="1" xfId="13" applyNumberFormat="1" applyFont="1" applyBorder="1" applyAlignment="1" applyProtection="1">
      <alignment horizontal="left" vertical="top"/>
    </xf>
    <xf numFmtId="9" fontId="5" fillId="0" borderId="1" xfId="12" applyNumberFormat="1" applyFont="1" applyFill="1" applyBorder="1" applyAlignment="1" applyProtection="1">
      <alignment horizontal="center" vertical="top" wrapText="1"/>
    </xf>
    <xf numFmtId="10" fontId="5" fillId="0" borderId="1" xfId="13" quotePrefix="1" applyNumberFormat="1" applyFont="1" applyBorder="1" applyAlignment="1" applyProtection="1">
      <alignment horizontal="left" vertical="top" wrapText="1"/>
    </xf>
    <xf numFmtId="1" fontId="5" fillId="0" borderId="16" xfId="11" applyNumberFormat="1" applyFont="1" applyBorder="1" applyAlignment="1" applyProtection="1">
      <alignment horizontal="center" vertical="top" wrapText="1"/>
    </xf>
    <xf numFmtId="9" fontId="5" fillId="0" borderId="16" xfId="5" applyFont="1" applyBorder="1" applyAlignment="1" applyProtection="1">
      <alignment horizontal="center" vertical="top" wrapText="1"/>
    </xf>
    <xf numFmtId="10" fontId="5" fillId="0" borderId="16" xfId="13" applyNumberFormat="1" applyFont="1" applyBorder="1" applyAlignment="1" applyProtection="1">
      <alignment horizontal="left" vertical="top" wrapText="1"/>
    </xf>
    <xf numFmtId="43" fontId="5" fillId="25" borderId="1" xfId="1" applyNumberFormat="1" applyFont="1" applyFill="1" applyBorder="1" applyAlignment="1" applyProtection="1">
      <alignment horizontal="center" vertical="top" wrapText="1"/>
    </xf>
    <xf numFmtId="43" fontId="5" fillId="25" borderId="2" xfId="1" applyNumberFormat="1" applyFont="1" applyFill="1" applyBorder="1" applyAlignment="1" applyProtection="1">
      <alignment horizontal="center" vertical="top" wrapText="1"/>
    </xf>
    <xf numFmtId="166" fontId="5" fillId="0" borderId="3" xfId="1" applyNumberFormat="1" applyFont="1" applyFill="1" applyBorder="1" applyAlignment="1" applyProtection="1">
      <alignment horizontal="center"/>
    </xf>
    <xf numFmtId="0" fontId="5" fillId="25" borderId="3" xfId="1" applyNumberFormat="1" applyFont="1" applyFill="1" applyBorder="1" applyAlignment="1" applyProtection="1">
      <alignment horizontal="right"/>
    </xf>
    <xf numFmtId="173" fontId="5" fillId="25" borderId="3" xfId="2" applyNumberFormat="1" applyFont="1" applyFill="1" applyBorder="1" applyAlignment="1" applyProtection="1">
      <alignment horizontal="center"/>
    </xf>
    <xf numFmtId="171" fontId="5" fillId="0" borderId="3" xfId="1" applyNumberFormat="1" applyFont="1" applyFill="1" applyBorder="1" applyAlignment="1" applyProtection="1">
      <alignment horizontal="center"/>
    </xf>
    <xf numFmtId="167" fontId="5" fillId="25" borderId="3" xfId="4" applyNumberFormat="1" applyFont="1" applyFill="1" applyBorder="1" applyAlignment="1" applyProtection="1">
      <alignment horizontal="center" wrapText="1"/>
    </xf>
    <xf numFmtId="0" fontId="18" fillId="0" borderId="0" xfId="0" applyFont="1" applyAlignment="1" applyProtection="1">
      <alignment vertical="center"/>
    </xf>
    <xf numFmtId="0" fontId="19" fillId="0" borderId="0" xfId="0" applyFont="1" applyAlignment="1" applyProtection="1">
      <alignment vertical="center"/>
    </xf>
    <xf numFmtId="170" fontId="5" fillId="0" borderId="0" xfId="2" quotePrefix="1" applyNumberFormat="1" applyFont="1" applyFill="1" applyBorder="1" applyAlignment="1" applyProtection="1">
      <alignment horizontal="left"/>
    </xf>
    <xf numFmtId="170" fontId="5" fillId="0" borderId="0" xfId="0" applyNumberFormat="1" applyFont="1" applyFill="1" applyBorder="1" applyProtection="1"/>
    <xf numFmtId="170" fontId="4" fillId="31" borderId="1" xfId="2" applyNumberFormat="1" applyFont="1" applyFill="1" applyBorder="1" applyAlignment="1" applyProtection="1">
      <alignment horizontal="center" wrapText="1"/>
    </xf>
    <xf numFmtId="172" fontId="5" fillId="0" borderId="1" xfId="4" applyNumberFormat="1" applyFont="1" applyFill="1" applyBorder="1" applyAlignment="1" applyProtection="1">
      <alignment horizontal="center" vertical="top"/>
    </xf>
    <xf numFmtId="43" fontId="5" fillId="25" borderId="33" xfId="1" applyNumberFormat="1" applyFont="1" applyFill="1" applyBorder="1" applyAlignment="1" applyProtection="1">
      <alignment horizontal="center" vertical="top" wrapText="1"/>
    </xf>
    <xf numFmtId="43" fontId="5" fillId="25" borderId="32" xfId="1" applyNumberFormat="1" applyFont="1" applyFill="1" applyBorder="1" applyAlignment="1" applyProtection="1">
      <alignment horizontal="center" vertical="top" wrapText="1"/>
    </xf>
    <xf numFmtId="43" fontId="5" fillId="25" borderId="3" xfId="1" applyNumberFormat="1" applyFont="1" applyFill="1" applyBorder="1" applyAlignment="1" applyProtection="1">
      <alignment horizontal="center" vertical="top" wrapText="1"/>
    </xf>
    <xf numFmtId="166" fontId="5" fillId="0" borderId="16" xfId="1" applyNumberFormat="1" applyFont="1" applyFill="1" applyBorder="1" applyAlignment="1" applyProtection="1">
      <alignment horizontal="center" vertical="top" wrapText="1"/>
    </xf>
    <xf numFmtId="1" fontId="5" fillId="25" borderId="1" xfId="1" applyNumberFormat="1" applyFont="1" applyFill="1" applyBorder="1" applyAlignment="1" applyProtection="1">
      <alignment horizontal="center" vertical="top" wrapText="1"/>
    </xf>
    <xf numFmtId="171" fontId="5" fillId="25" borderId="1" xfId="1" applyNumberFormat="1" applyFont="1" applyFill="1" applyBorder="1" applyAlignment="1" applyProtection="1">
      <alignment horizontal="center" vertical="top" wrapText="1"/>
    </xf>
    <xf numFmtId="3" fontId="4" fillId="15" borderId="21" xfId="2" applyNumberFormat="1" applyFont="1" applyFill="1" applyBorder="1" applyAlignment="1" applyProtection="1">
      <alignment horizontal="center" wrapText="1"/>
    </xf>
    <xf numFmtId="3" fontId="4" fillId="15" borderId="2" xfId="2" applyNumberFormat="1" applyFont="1" applyFill="1" applyBorder="1" applyAlignment="1" applyProtection="1">
      <alignment horizontal="center" wrapText="1"/>
    </xf>
    <xf numFmtId="170" fontId="5" fillId="0" borderId="0" xfId="2" quotePrefix="1" applyNumberFormat="1" applyFont="1" applyFill="1" applyBorder="1" applyAlignment="1" applyProtection="1">
      <alignment vertical="top" wrapText="1"/>
    </xf>
    <xf numFmtId="165" fontId="5" fillId="0" borderId="1" xfId="2" applyFont="1" applyFill="1" applyBorder="1" applyAlignment="1" applyProtection="1">
      <alignment horizontal="center" vertical="top" wrapText="1"/>
    </xf>
    <xf numFmtId="165" fontId="5" fillId="0" borderId="1" xfId="2" applyFont="1" applyFill="1" applyBorder="1" applyAlignment="1" applyProtection="1">
      <alignment horizontal="left" vertical="top" wrapText="1"/>
    </xf>
    <xf numFmtId="165" fontId="5" fillId="0" borderId="1" xfId="2" applyFont="1" applyBorder="1" applyAlignment="1" applyProtection="1">
      <alignment horizontal="left" vertical="top" wrapText="1"/>
    </xf>
    <xf numFmtId="165" fontId="5" fillId="0" borderId="1" xfId="2" applyFont="1" applyBorder="1" applyAlignment="1" applyProtection="1">
      <alignment horizontal="center" vertical="top" wrapText="1"/>
    </xf>
    <xf numFmtId="0" fontId="5" fillId="0" borderId="1" xfId="6" applyFont="1" applyFill="1" applyBorder="1" applyAlignment="1" applyProtection="1">
      <alignment horizontal="center" vertical="top" wrapText="1"/>
    </xf>
    <xf numFmtId="170" fontId="5" fillId="0" borderId="1" xfId="12" applyNumberFormat="1" applyFont="1" applyBorder="1" applyAlignment="1" applyProtection="1">
      <alignment horizontal="left" vertical="top" wrapText="1"/>
    </xf>
    <xf numFmtId="170" fontId="4" fillId="26" borderId="1" xfId="2" applyNumberFormat="1" applyFont="1" applyFill="1" applyBorder="1" applyAlignment="1" applyProtection="1">
      <alignment horizontal="center" wrapText="1"/>
    </xf>
    <xf numFmtId="9" fontId="5" fillId="0" borderId="2" xfId="13" applyNumberFormat="1" applyFont="1" applyBorder="1" applyAlignment="1" applyProtection="1">
      <alignment horizontal="center" vertical="top" wrapText="1"/>
    </xf>
    <xf numFmtId="167" fontId="5" fillId="0" borderId="2" xfId="4" applyNumberFormat="1" applyFont="1" applyBorder="1" applyAlignment="1" applyProtection="1">
      <alignment horizontal="center" vertical="top" wrapText="1"/>
    </xf>
    <xf numFmtId="167" fontId="5" fillId="0" borderId="2" xfId="4" applyNumberFormat="1" applyFont="1" applyFill="1" applyBorder="1" applyAlignment="1" applyProtection="1">
      <alignment horizontal="center" vertical="top" wrapText="1"/>
    </xf>
    <xf numFmtId="166" fontId="5" fillId="0" borderId="2" xfId="1" applyNumberFormat="1" applyFont="1" applyBorder="1" applyAlignment="1" applyProtection="1">
      <alignment horizontal="center" vertical="top" wrapText="1"/>
    </xf>
    <xf numFmtId="165" fontId="5" fillId="0" borderId="2" xfId="2" applyFont="1" applyBorder="1" applyAlignment="1" applyProtection="1">
      <alignment horizontal="left" vertical="top" wrapText="1"/>
    </xf>
    <xf numFmtId="165" fontId="5" fillId="0" borderId="2" xfId="2" applyFont="1" applyBorder="1" applyAlignment="1" applyProtection="1">
      <alignment horizontal="center" vertical="top" wrapText="1"/>
    </xf>
    <xf numFmtId="0" fontId="5" fillId="0" borderId="2" xfId="6" applyFont="1" applyFill="1" applyBorder="1" applyAlignment="1" applyProtection="1">
      <alignment horizontal="center" vertical="top" wrapText="1"/>
    </xf>
    <xf numFmtId="165" fontId="5" fillId="0" borderId="2" xfId="2" applyFont="1" applyFill="1" applyBorder="1" applyAlignment="1" applyProtection="1">
      <alignment horizontal="left" vertical="top" wrapText="1"/>
    </xf>
    <xf numFmtId="165" fontId="4" fillId="0" borderId="2" xfId="2" applyFont="1" applyFill="1" applyBorder="1" applyAlignment="1" applyProtection="1">
      <alignment horizontal="center" vertical="center" wrapText="1"/>
    </xf>
    <xf numFmtId="170" fontId="4" fillId="31" borderId="32" xfId="2" applyNumberFormat="1" applyFont="1" applyFill="1" applyBorder="1" applyAlignment="1" applyProtection="1">
      <alignment horizontal="center" wrapText="1"/>
    </xf>
    <xf numFmtId="170" fontId="4" fillId="31" borderId="33" xfId="2" applyNumberFormat="1" applyFont="1" applyFill="1" applyBorder="1" applyAlignment="1" applyProtection="1">
      <alignment horizontal="center" wrapText="1"/>
    </xf>
    <xf numFmtId="165" fontId="4" fillId="2" borderId="2" xfId="2" applyFont="1" applyFill="1" applyBorder="1" applyAlignment="1" applyProtection="1">
      <alignment horizontal="left" vertical="center" wrapText="1"/>
    </xf>
    <xf numFmtId="166" fontId="14" fillId="15" borderId="53" xfId="1" applyNumberFormat="1" applyFont="1" applyFill="1" applyBorder="1" applyAlignment="1" applyProtection="1">
      <alignment horizontal="center" wrapText="1"/>
    </xf>
    <xf numFmtId="166" fontId="14" fillId="15" borderId="23" xfId="1" applyNumberFormat="1" applyFont="1" applyFill="1" applyBorder="1" applyAlignment="1" applyProtection="1">
      <alignment horizontal="center" wrapText="1"/>
    </xf>
    <xf numFmtId="1" fontId="4" fillId="15" borderId="33" xfId="2" applyNumberFormat="1" applyFont="1" applyFill="1" applyBorder="1" applyAlignment="1" applyProtection="1">
      <alignment horizontal="center" wrapText="1"/>
    </xf>
    <xf numFmtId="164" fontId="5" fillId="0" borderId="2" xfId="1" applyNumberFormat="1" applyFont="1" applyFill="1" applyBorder="1" applyAlignment="1" applyProtection="1">
      <alignment horizontal="center" vertical="top" wrapText="1"/>
    </xf>
    <xf numFmtId="166" fontId="5" fillId="0" borderId="2" xfId="1" applyNumberFormat="1" applyFont="1" applyFill="1" applyBorder="1" applyAlignment="1" applyProtection="1">
      <alignment horizontal="center" vertical="top" wrapText="1"/>
    </xf>
    <xf numFmtId="168" fontId="5" fillId="0" borderId="2" xfId="5" applyNumberFormat="1" applyFont="1" applyFill="1" applyBorder="1" applyAlignment="1" applyProtection="1">
      <alignment horizontal="center" vertical="top" wrapText="1"/>
    </xf>
    <xf numFmtId="1" fontId="4" fillId="15" borderId="32" xfId="2" applyNumberFormat="1" applyFont="1" applyFill="1" applyBorder="1" applyAlignment="1" applyProtection="1">
      <alignment horizontal="center" wrapText="1"/>
    </xf>
    <xf numFmtId="170" fontId="4" fillId="10" borderId="33" xfId="2" applyNumberFormat="1" applyFont="1" applyFill="1" applyBorder="1" applyAlignment="1" applyProtection="1">
      <alignment horizontal="center" wrapText="1"/>
    </xf>
    <xf numFmtId="170" fontId="4" fillId="10" borderId="32" xfId="2" applyNumberFormat="1" applyFont="1" applyFill="1" applyBorder="1" applyAlignment="1" applyProtection="1">
      <alignment horizontal="center" wrapText="1"/>
    </xf>
    <xf numFmtId="170" fontId="4" fillId="10" borderId="54" xfId="2" applyNumberFormat="1" applyFont="1" applyFill="1" applyBorder="1" applyAlignment="1" applyProtection="1">
      <alignment horizontal="center" wrapText="1"/>
    </xf>
    <xf numFmtId="170" fontId="4" fillId="10" borderId="59" xfId="2" applyNumberFormat="1" applyFont="1" applyFill="1" applyBorder="1" applyAlignment="1" applyProtection="1">
      <alignment horizontal="center" wrapText="1"/>
    </xf>
    <xf numFmtId="9" fontId="4" fillId="10" borderId="18" xfId="2" applyNumberFormat="1" applyFont="1" applyFill="1" applyBorder="1" applyAlignment="1" applyProtection="1">
      <alignment horizontal="center" wrapText="1"/>
    </xf>
    <xf numFmtId="170" fontId="4" fillId="10" borderId="57" xfId="2" applyNumberFormat="1" applyFont="1" applyFill="1" applyBorder="1" applyAlignment="1" applyProtection="1">
      <alignment horizontal="center" wrapText="1"/>
    </xf>
    <xf numFmtId="170" fontId="4" fillId="10" borderId="60" xfId="2" applyNumberFormat="1" applyFont="1" applyFill="1" applyBorder="1" applyAlignment="1" applyProtection="1">
      <alignment horizontal="center" wrapText="1"/>
    </xf>
    <xf numFmtId="165" fontId="4" fillId="10" borderId="33" xfId="2" applyFont="1" applyFill="1" applyBorder="1" applyAlignment="1" applyProtection="1">
      <alignment horizontal="center" wrapText="1"/>
    </xf>
    <xf numFmtId="172" fontId="5" fillId="0" borderId="2" xfId="4" applyNumberFormat="1" applyFont="1" applyFill="1" applyBorder="1" applyAlignment="1" applyProtection="1">
      <alignment horizontal="center" vertical="top" wrapText="1"/>
    </xf>
    <xf numFmtId="165" fontId="5" fillId="0" borderId="65" xfId="2" applyFont="1" applyBorder="1" applyAlignment="1" applyProtection="1">
      <alignment horizontal="left" vertical="top" wrapText="1"/>
    </xf>
    <xf numFmtId="165" fontId="5" fillId="0" borderId="2" xfId="2" applyFont="1" applyBorder="1" applyAlignment="1" applyProtection="1">
      <alignment horizontal="center" vertical="top" wrapText="1"/>
    </xf>
    <xf numFmtId="0" fontId="5" fillId="0" borderId="2" xfId="6" applyFont="1" applyFill="1" applyBorder="1" applyAlignment="1" applyProtection="1">
      <alignment horizontal="center" vertical="top" wrapText="1"/>
    </xf>
    <xf numFmtId="165" fontId="5" fillId="0" borderId="2" xfId="2" applyFont="1" applyFill="1" applyBorder="1" applyAlignment="1" applyProtection="1">
      <alignment horizontal="center" vertical="top" wrapText="1"/>
    </xf>
    <xf numFmtId="165" fontId="4" fillId="10" borderId="75" xfId="2" applyFont="1" applyFill="1" applyBorder="1" applyAlignment="1" applyProtection="1">
      <alignment horizontal="center" wrapText="1"/>
    </xf>
    <xf numFmtId="165" fontId="4" fillId="10" borderId="76" xfId="2" applyFont="1" applyFill="1" applyBorder="1" applyAlignment="1" applyProtection="1">
      <alignment horizontal="center" wrapText="1"/>
    </xf>
    <xf numFmtId="165" fontId="4" fillId="10" borderId="77" xfId="2" applyFont="1" applyFill="1" applyBorder="1" applyAlignment="1" applyProtection="1">
      <alignment horizontal="center" wrapText="1"/>
    </xf>
    <xf numFmtId="165" fontId="5" fillId="0" borderId="2" xfId="2" applyFont="1" applyBorder="1" applyAlignment="1" applyProtection="1">
      <alignment horizontal="left" vertical="top" wrapText="1" indent="2"/>
    </xf>
    <xf numFmtId="165" fontId="4" fillId="15" borderId="83" xfId="2" applyFont="1" applyFill="1" applyBorder="1" applyAlignment="1" applyProtection="1">
      <alignment horizontal="center" wrapText="1"/>
    </xf>
    <xf numFmtId="165" fontId="4" fillId="15" borderId="24" xfId="2" applyFont="1" applyFill="1" applyBorder="1" applyAlignment="1" applyProtection="1">
      <alignment horizontal="center" wrapText="1"/>
    </xf>
    <xf numFmtId="3" fontId="5" fillId="0" borderId="2" xfId="1" applyNumberFormat="1" applyFont="1" applyBorder="1" applyAlignment="1" applyProtection="1">
      <alignment horizontal="center" vertical="top" wrapText="1"/>
    </xf>
    <xf numFmtId="1" fontId="4" fillId="15" borderId="3" xfId="2" applyNumberFormat="1" applyFont="1" applyFill="1" applyBorder="1" applyAlignment="1" applyProtection="1">
      <alignment horizontal="center" wrapText="1"/>
    </xf>
    <xf numFmtId="164" fontId="4" fillId="15" borderId="47" xfId="2" applyNumberFormat="1" applyFont="1" applyFill="1" applyBorder="1" applyAlignment="1" applyProtection="1">
      <alignment horizontal="center" wrapText="1"/>
    </xf>
    <xf numFmtId="170" fontId="4" fillId="10" borderId="3" xfId="2" applyNumberFormat="1" applyFont="1" applyFill="1" applyBorder="1" applyAlignment="1" applyProtection="1">
      <alignment horizontal="center" wrapText="1"/>
    </xf>
    <xf numFmtId="170" fontId="4" fillId="10" borderId="77" xfId="2" applyNumberFormat="1" applyFont="1" applyFill="1" applyBorder="1" applyAlignment="1" applyProtection="1">
      <alignment horizontal="center" wrapText="1"/>
    </xf>
    <xf numFmtId="170" fontId="4" fillId="10" borderId="85" xfId="2" applyNumberFormat="1" applyFont="1" applyFill="1" applyBorder="1" applyAlignment="1" applyProtection="1">
      <alignment horizontal="center" wrapText="1"/>
    </xf>
    <xf numFmtId="9" fontId="4" fillId="10" borderId="3" xfId="2" applyNumberFormat="1" applyFont="1" applyFill="1" applyBorder="1" applyAlignment="1" applyProtection="1">
      <alignment horizontal="center" wrapText="1"/>
    </xf>
    <xf numFmtId="170" fontId="4" fillId="10" borderId="48" xfId="2" applyNumberFormat="1" applyFont="1" applyFill="1" applyBorder="1" applyAlignment="1" applyProtection="1">
      <alignment horizontal="center" wrapText="1"/>
    </xf>
    <xf numFmtId="170" fontId="4" fillId="31" borderId="3" xfId="2" applyNumberFormat="1" applyFont="1" applyFill="1" applyBorder="1" applyAlignment="1" applyProtection="1">
      <alignment horizontal="center" wrapText="1"/>
    </xf>
    <xf numFmtId="1" fontId="4" fillId="14" borderId="3" xfId="2" applyNumberFormat="1" applyFont="1" applyFill="1" applyBorder="1" applyAlignment="1" applyProtection="1">
      <alignment horizontal="center" wrapText="1"/>
    </xf>
    <xf numFmtId="2" fontId="30" fillId="30" borderId="1" xfId="1" applyNumberFormat="1" applyFont="1" applyFill="1" applyBorder="1" applyAlignment="1" applyProtection="1">
      <alignment horizontal="center" vertical="top" wrapText="1"/>
    </xf>
    <xf numFmtId="166" fontId="30" fillId="0" borderId="1" xfId="1" applyNumberFormat="1" applyFont="1" applyBorder="1" applyAlignment="1" applyProtection="1">
      <alignment horizontal="center" vertical="top" wrapText="1"/>
    </xf>
    <xf numFmtId="165" fontId="4" fillId="10" borderId="25" xfId="2" applyFont="1" applyFill="1" applyBorder="1" applyAlignment="1" applyProtection="1">
      <alignment horizontal="center"/>
    </xf>
    <xf numFmtId="170" fontId="4" fillId="10" borderId="43" xfId="2" applyNumberFormat="1" applyFont="1" applyFill="1" applyBorder="1" applyAlignment="1" applyProtection="1">
      <alignment horizontal="center"/>
    </xf>
    <xf numFmtId="164" fontId="4" fillId="15" borderId="11" xfId="2" applyNumberFormat="1" applyFont="1" applyFill="1" applyBorder="1" applyAlignment="1" applyProtection="1">
      <alignment horizontal="center" wrapText="1"/>
    </xf>
    <xf numFmtId="165" fontId="4" fillId="10" borderId="91" xfId="2" applyFont="1" applyFill="1" applyBorder="1" applyAlignment="1" applyProtection="1">
      <alignment horizontal="center"/>
    </xf>
    <xf numFmtId="170" fontId="4" fillId="22" borderId="24" xfId="2" applyNumberFormat="1" applyFont="1" applyFill="1" applyBorder="1" applyAlignment="1" applyProtection="1">
      <alignment horizontal="center" wrapText="1"/>
    </xf>
    <xf numFmtId="0" fontId="5" fillId="0" borderId="2" xfId="6" applyFont="1" applyFill="1" applyBorder="1" applyAlignment="1" applyProtection="1">
      <alignment horizontal="center" vertical="top" wrapText="1"/>
    </xf>
    <xf numFmtId="170" fontId="4" fillId="10" borderId="3" xfId="2" applyNumberFormat="1" applyFont="1" applyFill="1" applyBorder="1" applyAlignment="1" applyProtection="1">
      <alignment horizontal="center"/>
    </xf>
    <xf numFmtId="164" fontId="4" fillId="15" borderId="3" xfId="2" applyNumberFormat="1" applyFont="1" applyFill="1" applyBorder="1" applyAlignment="1" applyProtection="1">
      <alignment horizontal="center" wrapText="1"/>
    </xf>
    <xf numFmtId="165" fontId="4" fillId="10" borderId="3" xfId="2" applyFont="1" applyFill="1" applyBorder="1" applyAlignment="1" applyProtection="1">
      <alignment horizontal="center"/>
    </xf>
    <xf numFmtId="0" fontId="18" fillId="0" borderId="0" xfId="0" applyFont="1" applyAlignment="1">
      <alignment vertical="center" wrapText="1"/>
    </xf>
    <xf numFmtId="0" fontId="18" fillId="0" borderId="0" xfId="0" applyFont="1" applyAlignment="1">
      <alignment horizontal="left" vertical="center" wrapText="1"/>
    </xf>
    <xf numFmtId="0" fontId="33" fillId="0" borderId="0" xfId="0" applyFont="1" applyAlignment="1">
      <alignment horizontal="left" vertical="center" wrapText="1"/>
    </xf>
    <xf numFmtId="165" fontId="31" fillId="10" borderId="48" xfId="2" applyFont="1" applyFill="1" applyBorder="1" applyAlignment="1" applyProtection="1"/>
    <xf numFmtId="165" fontId="4" fillId="10" borderId="43" xfId="2" applyFont="1" applyFill="1" applyBorder="1" applyAlignment="1" applyProtection="1">
      <alignment horizontal="center"/>
    </xf>
    <xf numFmtId="165" fontId="30" fillId="3" borderId="1" xfId="2" applyFont="1" applyFill="1" applyBorder="1" applyAlignment="1" applyProtection="1">
      <alignment horizontal="left" vertical="center" wrapText="1"/>
    </xf>
    <xf numFmtId="0" fontId="5" fillId="0" borderId="1" xfId="6" applyFont="1" applyFill="1" applyBorder="1" applyAlignment="1" applyProtection="1">
      <alignment horizontal="center" vertical="top" wrapText="1"/>
    </xf>
    <xf numFmtId="170" fontId="5" fillId="0" borderId="1" xfId="12" applyNumberFormat="1" applyFont="1" applyBorder="1" applyAlignment="1" applyProtection="1">
      <alignment horizontal="left" vertical="top" wrapText="1"/>
    </xf>
    <xf numFmtId="165" fontId="5" fillId="0" borderId="1" xfId="2" applyFont="1" applyBorder="1" applyAlignment="1" applyProtection="1">
      <alignment horizontal="left" vertical="top" wrapText="1"/>
    </xf>
    <xf numFmtId="165" fontId="5" fillId="0" borderId="1" xfId="2" applyFont="1" applyBorder="1" applyAlignment="1" applyProtection="1">
      <alignment horizontal="center" vertical="top" wrapText="1"/>
    </xf>
    <xf numFmtId="166" fontId="35" fillId="0" borderId="1" xfId="1" applyNumberFormat="1" applyFont="1" applyBorder="1" applyAlignment="1" applyProtection="1">
      <alignment horizontal="center" vertical="top" wrapText="1"/>
    </xf>
    <xf numFmtId="165" fontId="35" fillId="0" borderId="1" xfId="2" applyFont="1" applyBorder="1" applyAlignment="1" applyProtection="1">
      <alignment horizontal="left" vertical="top" wrapText="1"/>
    </xf>
    <xf numFmtId="0" fontId="36" fillId="0" borderId="0" xfId="0" applyFont="1" applyAlignment="1">
      <alignment horizontal="left" vertical="center" wrapText="1" indent="3"/>
    </xf>
    <xf numFmtId="0" fontId="18" fillId="0" borderId="0" xfId="0" applyFont="1" applyAlignment="1">
      <alignment horizontal="left" vertical="center" wrapText="1" indent="3"/>
    </xf>
    <xf numFmtId="171" fontId="35" fillId="0" borderId="1" xfId="1" applyNumberFormat="1" applyFont="1" applyBorder="1" applyAlignment="1" applyProtection="1">
      <alignment horizontal="center" vertical="top" wrapText="1"/>
    </xf>
    <xf numFmtId="0" fontId="1" fillId="0" borderId="0" xfId="16"/>
    <xf numFmtId="10" fontId="1" fillId="0" borderId="0" xfId="17" applyNumberFormat="1" applyFont="1"/>
    <xf numFmtId="1" fontId="1" fillId="0" borderId="0" xfId="16" applyNumberFormat="1"/>
    <xf numFmtId="0" fontId="1" fillId="0" borderId="0" xfId="16" applyAlignment="1">
      <alignment horizontal="center"/>
    </xf>
    <xf numFmtId="2" fontId="1" fillId="0" borderId="0" xfId="16" applyNumberFormat="1" applyAlignment="1">
      <alignment horizontal="center"/>
    </xf>
    <xf numFmtId="1" fontId="1" fillId="0" borderId="0" xfId="16" applyNumberFormat="1" applyAlignment="1">
      <alignment horizontal="center"/>
    </xf>
    <xf numFmtId="164" fontId="1" fillId="0" borderId="0" xfId="16" applyNumberFormat="1" applyAlignment="1">
      <alignment horizontal="center"/>
    </xf>
    <xf numFmtId="175" fontId="1" fillId="0" borderId="0" xfId="16" applyNumberFormat="1" applyAlignment="1">
      <alignment horizontal="center"/>
    </xf>
    <xf numFmtId="0" fontId="37" fillId="0" borderId="0" xfId="16" applyFont="1"/>
    <xf numFmtId="0" fontId="1" fillId="9" borderId="0" xfId="16" applyFill="1" applyAlignment="1">
      <alignment horizontal="center"/>
    </xf>
    <xf numFmtId="2" fontId="1" fillId="9" borderId="0" xfId="16" applyNumberFormat="1" applyFill="1" applyAlignment="1">
      <alignment horizontal="center"/>
    </xf>
    <xf numFmtId="164" fontId="1" fillId="9" borderId="0" xfId="16" applyNumberFormat="1" applyFill="1" applyAlignment="1">
      <alignment horizontal="center"/>
    </xf>
    <xf numFmtId="10" fontId="1" fillId="9" borderId="0" xfId="17" applyNumberFormat="1" applyFont="1" applyFill="1" applyAlignment="1">
      <alignment horizontal="center"/>
    </xf>
    <xf numFmtId="175" fontId="1" fillId="0" borderId="0" xfId="16" quotePrefix="1" applyNumberFormat="1" applyAlignment="1">
      <alignment horizontal="center"/>
    </xf>
    <xf numFmtId="1" fontId="1" fillId="9" borderId="0" xfId="16" applyNumberFormat="1" applyFill="1" applyAlignment="1">
      <alignment horizontal="center"/>
    </xf>
    <xf numFmtId="0" fontId="37" fillId="0" borderId="0" xfId="16" applyFont="1" applyAlignment="1">
      <alignment horizontal="center"/>
    </xf>
    <xf numFmtId="0" fontId="37" fillId="0" borderId="0" xfId="16" applyFont="1" applyAlignment="1">
      <alignment horizontal="center" wrapText="1"/>
    </xf>
    <xf numFmtId="0" fontId="37" fillId="0" borderId="3" xfId="16" applyFont="1" applyBorder="1" applyAlignment="1">
      <alignment horizontal="center" wrapText="1"/>
    </xf>
    <xf numFmtId="0" fontId="37" fillId="0" borderId="3" xfId="16" applyFont="1" applyBorder="1" applyAlignment="1">
      <alignment horizontal="center"/>
    </xf>
    <xf numFmtId="0" fontId="1" fillId="0" borderId="77" xfId="16" applyFill="1" applyBorder="1" applyAlignment="1">
      <alignment horizontal="center" wrapText="1"/>
    </xf>
    <xf numFmtId="1" fontId="1" fillId="0" borderId="77" xfId="16" applyNumberFormat="1" applyFill="1" applyBorder="1" applyAlignment="1">
      <alignment horizontal="center" wrapText="1"/>
    </xf>
    <xf numFmtId="10" fontId="1" fillId="0" borderId="77" xfId="16" applyNumberFormat="1" applyFill="1" applyBorder="1" applyAlignment="1">
      <alignment horizontal="center" wrapText="1"/>
    </xf>
    <xf numFmtId="175" fontId="1" fillId="0" borderId="77" xfId="16" applyNumberFormat="1" applyFill="1" applyBorder="1" applyAlignment="1">
      <alignment horizontal="center" wrapText="1"/>
    </xf>
    <xf numFmtId="164" fontId="1" fillId="0" borderId="92" xfId="16" applyNumberFormat="1" applyFill="1" applyBorder="1" applyAlignment="1">
      <alignment horizontal="center" wrapText="1"/>
    </xf>
    <xf numFmtId="0" fontId="1" fillId="0" borderId="92" xfId="16" applyFill="1" applyBorder="1" applyAlignment="1">
      <alignment horizontal="center" wrapText="1"/>
    </xf>
    <xf numFmtId="1" fontId="1" fillId="0" borderId="92" xfId="16" applyNumberFormat="1" applyFill="1" applyBorder="1" applyAlignment="1">
      <alignment horizontal="center" wrapText="1"/>
    </xf>
    <xf numFmtId="10" fontId="1" fillId="0" borderId="92" xfId="16" applyNumberFormat="1" applyFill="1" applyBorder="1" applyAlignment="1">
      <alignment horizontal="center" wrapText="1"/>
    </xf>
    <xf numFmtId="2" fontId="1" fillId="0" borderId="92" xfId="16" applyNumberFormat="1" applyFill="1" applyBorder="1" applyAlignment="1">
      <alignment horizontal="center" wrapText="1"/>
    </xf>
    <xf numFmtId="2" fontId="1" fillId="0" borderId="77" xfId="16" applyNumberFormat="1" applyFill="1" applyBorder="1" applyAlignment="1">
      <alignment horizontal="center" wrapText="1"/>
    </xf>
    <xf numFmtId="175" fontId="1" fillId="0" borderId="92" xfId="16" applyNumberFormat="1" applyFill="1" applyBorder="1" applyAlignment="1">
      <alignment horizontal="center" wrapText="1"/>
    </xf>
    <xf numFmtId="164" fontId="1" fillId="0" borderId="77" xfId="16" applyNumberFormat="1" applyFill="1" applyBorder="1" applyAlignment="1">
      <alignment horizontal="center" wrapText="1"/>
    </xf>
    <xf numFmtId="0" fontId="1" fillId="0" borderId="92" xfId="16" applyBorder="1"/>
    <xf numFmtId="0" fontId="37" fillId="0" borderId="92" xfId="16" applyFont="1" applyBorder="1" applyAlignment="1">
      <alignment horizontal="center" wrapText="1"/>
    </xf>
    <xf numFmtId="175" fontId="1" fillId="0" borderId="0" xfId="16" applyNumberFormat="1"/>
    <xf numFmtId="0" fontId="1" fillId="0" borderId="0" xfId="16" applyFill="1" applyAlignment="1">
      <alignment horizontal="center"/>
    </xf>
    <xf numFmtId="1" fontId="1" fillId="0" borderId="0" xfId="16" applyNumberFormat="1" applyFill="1" applyAlignment="1">
      <alignment horizontal="center"/>
    </xf>
    <xf numFmtId="9" fontId="1" fillId="0" borderId="77" xfId="17" applyFont="1" applyFill="1" applyBorder="1" applyAlignment="1">
      <alignment horizontal="center" wrapText="1"/>
    </xf>
    <xf numFmtId="9" fontId="1" fillId="0" borderId="92" xfId="17" applyFont="1" applyFill="1" applyBorder="1" applyAlignment="1">
      <alignment horizontal="center" wrapText="1"/>
    </xf>
    <xf numFmtId="9" fontId="1" fillId="0" borderId="0" xfId="17" applyFont="1" applyFill="1" applyAlignment="1">
      <alignment horizontal="center"/>
    </xf>
    <xf numFmtId="9" fontId="1" fillId="0" borderId="0" xfId="17" applyNumberFormat="1" applyFont="1" applyAlignment="1">
      <alignment horizontal="center"/>
    </xf>
    <xf numFmtId="0" fontId="37" fillId="0" borderId="0" xfId="16" applyFont="1" applyFill="1" applyAlignment="1">
      <alignment horizontal="center" wrapText="1"/>
    </xf>
    <xf numFmtId="0" fontId="37" fillId="0" borderId="0" xfId="16" applyFont="1" applyFill="1" applyAlignment="1">
      <alignment horizontal="center"/>
    </xf>
    <xf numFmtId="3" fontId="1" fillId="0" borderId="0" xfId="16" applyNumberFormat="1" applyFill="1" applyAlignment="1">
      <alignment horizontal="center"/>
    </xf>
    <xf numFmtId="0" fontId="37" fillId="0" borderId="3" xfId="16" applyFont="1" applyFill="1" applyBorder="1" applyAlignment="1">
      <alignment horizontal="center" wrapText="1"/>
    </xf>
    <xf numFmtId="0" fontId="37" fillId="0" borderId="92" xfId="16" applyFont="1" applyFill="1" applyBorder="1" applyAlignment="1">
      <alignment horizontal="center" wrapText="1"/>
    </xf>
    <xf numFmtId="3" fontId="1" fillId="0" borderId="77" xfId="16" applyNumberFormat="1" applyFill="1" applyBorder="1" applyAlignment="1">
      <alignment horizontal="center" wrapText="1"/>
    </xf>
    <xf numFmtId="3" fontId="1" fillId="0" borderId="92" xfId="16" applyNumberFormat="1" applyFill="1" applyBorder="1" applyAlignment="1">
      <alignment horizontal="center" wrapText="1"/>
    </xf>
    <xf numFmtId="0" fontId="1" fillId="0" borderId="93" xfId="16" applyFill="1" applyBorder="1" applyAlignment="1">
      <alignment horizontal="center"/>
    </xf>
    <xf numFmtId="3" fontId="1" fillId="0" borderId="93" xfId="16" applyNumberFormat="1" applyFill="1" applyBorder="1" applyAlignment="1">
      <alignment horizontal="center" wrapText="1"/>
    </xf>
    <xf numFmtId="0" fontId="39" fillId="0" borderId="0" xfId="16" applyFont="1"/>
    <xf numFmtId="0" fontId="39" fillId="0" borderId="94" xfId="16" applyFont="1" applyFill="1" applyBorder="1"/>
    <xf numFmtId="0" fontId="39" fillId="0" borderId="92" xfId="16" applyFont="1" applyFill="1" applyBorder="1"/>
    <xf numFmtId="0" fontId="39" fillId="0" borderId="77" xfId="16" applyFont="1" applyFill="1" applyBorder="1"/>
    <xf numFmtId="0" fontId="37" fillId="0" borderId="0" xfId="16" applyFont="1" applyFill="1"/>
    <xf numFmtId="10" fontId="1" fillId="0" borderId="0" xfId="17" applyNumberFormat="1" applyFont="1" applyFill="1" applyAlignment="1">
      <alignment horizontal="center"/>
    </xf>
    <xf numFmtId="175" fontId="1" fillId="0" borderId="0" xfId="16" applyNumberFormat="1" applyFill="1" applyAlignment="1">
      <alignment horizontal="center"/>
    </xf>
    <xf numFmtId="0" fontId="1" fillId="0" borderId="0" xfId="16" applyFill="1"/>
    <xf numFmtId="9" fontId="1" fillId="0" borderId="0" xfId="17" applyNumberFormat="1" applyFont="1" applyFill="1" applyAlignment="1">
      <alignment horizontal="center"/>
    </xf>
    <xf numFmtId="2" fontId="1" fillId="0" borderId="0" xfId="16" applyNumberFormat="1" applyFill="1" applyAlignment="1">
      <alignment horizontal="center"/>
    </xf>
    <xf numFmtId="0" fontId="37" fillId="0" borderId="95" xfId="16" applyFont="1" applyFill="1" applyBorder="1"/>
    <xf numFmtId="1" fontId="1" fillId="0" borderId="93" xfId="16" applyNumberFormat="1" applyFill="1" applyBorder="1" applyAlignment="1">
      <alignment horizontal="center" wrapText="1"/>
    </xf>
    <xf numFmtId="10" fontId="1" fillId="0" borderId="93" xfId="16" applyNumberFormat="1" applyFill="1" applyBorder="1" applyAlignment="1">
      <alignment horizontal="center" wrapText="1"/>
    </xf>
    <xf numFmtId="175" fontId="1" fillId="0" borderId="93" xfId="16" applyNumberFormat="1" applyFill="1" applyBorder="1" applyAlignment="1">
      <alignment horizontal="center" wrapText="1"/>
    </xf>
    <xf numFmtId="0" fontId="40" fillId="0" borderId="0" xfId="16" applyFont="1" applyAlignment="1">
      <alignment vertical="center"/>
    </xf>
    <xf numFmtId="0" fontId="40" fillId="0" borderId="0" xfId="16" applyFont="1" applyAlignment="1">
      <alignment horizontal="left" vertical="center" indent="2"/>
    </xf>
    <xf numFmtId="3" fontId="1" fillId="0" borderId="75" xfId="16" applyNumberFormat="1" applyFill="1" applyBorder="1" applyAlignment="1">
      <alignment horizontal="center" wrapText="1"/>
    </xf>
    <xf numFmtId="3" fontId="1" fillId="0" borderId="76" xfId="16" applyNumberFormat="1" applyFill="1" applyBorder="1" applyAlignment="1">
      <alignment horizontal="center" wrapText="1"/>
    </xf>
    <xf numFmtId="3" fontId="1" fillId="0" borderId="94" xfId="16" applyNumberFormat="1" applyFill="1" applyBorder="1" applyAlignment="1">
      <alignment horizontal="center" wrapText="1"/>
    </xf>
    <xf numFmtId="0" fontId="1" fillId="0" borderId="96" xfId="16" applyBorder="1"/>
    <xf numFmtId="165" fontId="30" fillId="6" borderId="1" xfId="2" applyFont="1" applyFill="1" applyBorder="1" applyAlignment="1" applyProtection="1">
      <alignment horizontal="left" vertical="center" wrapText="1"/>
    </xf>
    <xf numFmtId="165" fontId="5" fillId="0" borderId="1" xfId="2" applyFont="1" applyBorder="1" applyAlignment="1" applyProtection="1">
      <alignment horizontal="left" vertical="top" wrapText="1"/>
    </xf>
    <xf numFmtId="171" fontId="5" fillId="0" borderId="2" xfId="1" applyNumberFormat="1" applyFont="1" applyBorder="1" applyAlignment="1" applyProtection="1">
      <alignment horizontal="center" vertical="top" wrapText="1"/>
    </xf>
    <xf numFmtId="165" fontId="5" fillId="0" borderId="1" xfId="2" applyFont="1" applyFill="1" applyBorder="1" applyAlignment="1" applyProtection="1">
      <alignment horizontal="center" vertical="top" wrapText="1"/>
    </xf>
    <xf numFmtId="165" fontId="5" fillId="0" borderId="1" xfId="2" applyFont="1" applyFill="1" applyBorder="1" applyAlignment="1" applyProtection="1">
      <alignment horizontal="left" vertical="top" wrapText="1"/>
    </xf>
    <xf numFmtId="165" fontId="5" fillId="0" borderId="1" xfId="2" applyFont="1" applyBorder="1" applyAlignment="1" applyProtection="1">
      <alignment horizontal="left" vertical="top" wrapText="1"/>
    </xf>
    <xf numFmtId="165" fontId="5" fillId="0" borderId="1" xfId="2" applyFont="1" applyBorder="1" applyAlignment="1" applyProtection="1">
      <alignment horizontal="center" vertical="top" wrapText="1"/>
    </xf>
    <xf numFmtId="165" fontId="35" fillId="0" borderId="1" xfId="2" applyFont="1" applyBorder="1" applyAlignment="1" applyProtection="1">
      <alignment horizontal="center" vertical="top" wrapText="1"/>
    </xf>
    <xf numFmtId="165" fontId="35" fillId="0" borderId="1" xfId="2" applyFont="1" applyFill="1" applyBorder="1" applyAlignment="1" applyProtection="1">
      <alignment horizontal="center" vertical="top" wrapText="1"/>
    </xf>
    <xf numFmtId="165" fontId="35" fillId="0" borderId="1" xfId="2" applyFont="1" applyFill="1" applyBorder="1" applyAlignment="1" applyProtection="1">
      <alignment horizontal="left" vertical="top" wrapText="1"/>
    </xf>
    <xf numFmtId="16" fontId="5" fillId="0" borderId="1" xfId="6" applyNumberFormat="1" applyFont="1" applyFill="1" applyBorder="1" applyAlignment="1" applyProtection="1">
      <alignment horizontal="center" vertical="top" wrapText="1"/>
    </xf>
    <xf numFmtId="165" fontId="5" fillId="0" borderId="22" xfId="2" applyFont="1" applyBorder="1" applyAlignment="1" applyProtection="1">
      <alignment horizontal="center" vertical="top" wrapText="1"/>
    </xf>
    <xf numFmtId="165" fontId="5" fillId="0" borderId="2" xfId="2" applyFont="1" applyBorder="1" applyAlignment="1" applyProtection="1">
      <alignment horizontal="center" vertical="top" wrapText="1"/>
    </xf>
    <xf numFmtId="165" fontId="5" fillId="0" borderId="1" xfId="2" applyFont="1" applyBorder="1" applyAlignment="1" applyProtection="1">
      <alignment horizontal="left" vertical="top" wrapText="1"/>
    </xf>
    <xf numFmtId="165" fontId="5" fillId="0" borderId="1" xfId="2" applyFont="1" applyBorder="1" applyAlignment="1" applyProtection="1">
      <alignment horizontal="center" vertical="top" wrapText="1"/>
    </xf>
    <xf numFmtId="165" fontId="5" fillId="0" borderId="0" xfId="2" applyFont="1" applyBorder="1" applyAlignment="1" applyProtection="1">
      <alignment horizontal="left" vertical="top" wrapText="1"/>
    </xf>
    <xf numFmtId="165" fontId="5" fillId="0" borderId="21" xfId="2" applyFont="1" applyBorder="1" applyAlignment="1" applyProtection="1">
      <alignment horizontal="center" vertical="top" wrapText="1"/>
    </xf>
    <xf numFmtId="165" fontId="15" fillId="33" borderId="77" xfId="15" applyNumberFormat="1" applyFill="1" applyBorder="1" applyAlignment="1" applyProtection="1">
      <alignment horizontal="center" wrapText="1"/>
    </xf>
    <xf numFmtId="165" fontId="4" fillId="33" borderId="77" xfId="2" applyFont="1" applyFill="1" applyBorder="1" applyAlignment="1" applyProtection="1">
      <alignment horizontal="left" wrapText="1"/>
    </xf>
    <xf numFmtId="170" fontId="5" fillId="0" borderId="1" xfId="12" applyNumberFormat="1" applyFont="1" applyBorder="1" applyAlignment="1" applyProtection="1">
      <alignment horizontal="left" vertical="top" wrapText="1"/>
    </xf>
    <xf numFmtId="165" fontId="15" fillId="0" borderId="2" xfId="15" applyNumberFormat="1" applyFill="1" applyBorder="1" applyAlignment="1" applyProtection="1">
      <alignment horizontal="left" vertical="center" wrapText="1"/>
    </xf>
    <xf numFmtId="165" fontId="15" fillId="0" borderId="1" xfId="15" applyNumberFormat="1" applyFill="1" applyBorder="1" applyAlignment="1" applyProtection="1">
      <alignment horizontal="left" vertical="center" wrapText="1"/>
    </xf>
    <xf numFmtId="0" fontId="5" fillId="0" borderId="0" xfId="0" applyFont="1" applyFill="1" applyProtection="1"/>
    <xf numFmtId="165" fontId="44" fillId="0" borderId="0" xfId="2" applyFont="1" applyBorder="1" applyAlignment="1" applyProtection="1">
      <alignment horizontal="left" vertical="center"/>
    </xf>
    <xf numFmtId="165" fontId="44" fillId="0" borderId="2" xfId="2" applyFont="1" applyBorder="1" applyAlignment="1" applyProtection="1">
      <alignment horizontal="left" vertical="center" wrapText="1"/>
    </xf>
    <xf numFmtId="165" fontId="44" fillId="0" borderId="1" xfId="2" applyFont="1" applyBorder="1" applyAlignment="1" applyProtection="1">
      <alignment horizontal="left" vertical="center" wrapText="1"/>
    </xf>
    <xf numFmtId="49" fontId="44" fillId="0" borderId="1" xfId="2" applyNumberFormat="1" applyFont="1" applyBorder="1" applyAlignment="1" applyProtection="1">
      <alignment horizontal="left" vertical="center" wrapText="1"/>
    </xf>
    <xf numFmtId="165" fontId="44" fillId="0" borderId="1" xfId="2" quotePrefix="1" applyFont="1" applyBorder="1" applyAlignment="1" applyProtection="1">
      <alignment horizontal="left" vertical="center" wrapText="1"/>
    </xf>
    <xf numFmtId="49" fontId="44" fillId="0" borderId="1" xfId="15" applyNumberFormat="1" applyFont="1" applyBorder="1" applyAlignment="1" applyProtection="1">
      <alignment horizontal="left" vertical="center" wrapText="1"/>
    </xf>
    <xf numFmtId="0" fontId="44" fillId="0" borderId="0" xfId="0" applyFont="1" applyAlignment="1" applyProtection="1">
      <alignment vertical="center"/>
    </xf>
    <xf numFmtId="165" fontId="4" fillId="0" borderId="1" xfId="2" applyFont="1" applyBorder="1" applyAlignment="1">
      <alignment horizontal="left" vertical="center" wrapText="1"/>
    </xf>
    <xf numFmtId="165" fontId="35" fillId="0" borderId="1" xfId="2" applyFont="1" applyBorder="1" applyAlignment="1">
      <alignment horizontal="left" vertical="top" wrapText="1"/>
    </xf>
    <xf numFmtId="165" fontId="35" fillId="0" borderId="1" xfId="2" applyFont="1" applyBorder="1" applyAlignment="1">
      <alignment horizontal="center" vertical="top" wrapText="1"/>
    </xf>
    <xf numFmtId="165" fontId="5" fillId="0" borderId="1" xfId="2" applyFont="1" applyBorder="1" applyAlignment="1">
      <alignment horizontal="left" vertical="top" wrapText="1" indent="2"/>
    </xf>
    <xf numFmtId="165" fontId="5" fillId="0" borderId="1" xfId="2" applyFont="1" applyBorder="1" applyAlignment="1">
      <alignment horizontal="center" vertical="top" wrapText="1"/>
    </xf>
    <xf numFmtId="166" fontId="35" fillId="0" borderId="1" xfId="1" applyNumberFormat="1" applyFont="1" applyFill="1" applyBorder="1" applyAlignment="1" applyProtection="1">
      <alignment horizontal="center" vertical="top" wrapText="1"/>
    </xf>
    <xf numFmtId="9" fontId="5" fillId="0" borderId="1" xfId="13" applyFont="1" applyBorder="1" applyAlignment="1" applyProtection="1">
      <alignment horizontal="center" vertical="top" wrapText="1"/>
    </xf>
    <xf numFmtId="167" fontId="35" fillId="0" borderId="1" xfId="4" applyNumberFormat="1" applyFont="1" applyBorder="1" applyAlignment="1" applyProtection="1">
      <alignment horizontal="center" vertical="top" wrapText="1"/>
    </xf>
    <xf numFmtId="9" fontId="35" fillId="0" borderId="1" xfId="5" applyFont="1" applyBorder="1" applyAlignment="1" applyProtection="1">
      <alignment horizontal="center" vertical="top" wrapText="1"/>
    </xf>
    <xf numFmtId="9" fontId="35" fillId="0" borderId="1" xfId="12" applyNumberFormat="1" applyFont="1" applyBorder="1" applyAlignment="1" applyProtection="1">
      <alignment horizontal="center" vertical="top" wrapText="1"/>
    </xf>
    <xf numFmtId="9" fontId="35" fillId="0" borderId="1" xfId="13" applyFont="1" applyBorder="1" applyAlignment="1" applyProtection="1">
      <alignment horizontal="center" vertical="top" wrapText="1"/>
    </xf>
    <xf numFmtId="10" fontId="35" fillId="0" borderId="1" xfId="13" applyNumberFormat="1" applyFont="1" applyBorder="1" applyAlignment="1" applyProtection="1">
      <alignment horizontal="left" vertical="top" wrapText="1"/>
    </xf>
    <xf numFmtId="167" fontId="35" fillId="0" borderId="1" xfId="4" applyNumberFormat="1" applyFont="1" applyFill="1" applyBorder="1" applyAlignment="1" applyProtection="1">
      <alignment horizontal="center" vertical="top" wrapText="1"/>
    </xf>
    <xf numFmtId="172" fontId="35" fillId="0" borderId="1" xfId="4" applyNumberFormat="1" applyFont="1" applyBorder="1" applyAlignment="1" applyProtection="1">
      <alignment horizontal="center" vertical="top"/>
    </xf>
    <xf numFmtId="172" fontId="35" fillId="0" borderId="1" xfId="4" applyNumberFormat="1" applyFont="1" applyBorder="1" applyAlignment="1" applyProtection="1">
      <alignment horizontal="center" vertical="top" wrapText="1"/>
    </xf>
    <xf numFmtId="170" fontId="35" fillId="0" borderId="1" xfId="12" applyNumberFormat="1" applyFont="1" applyBorder="1" applyAlignment="1" applyProtection="1">
      <alignment horizontal="center" vertical="top" wrapText="1"/>
    </xf>
    <xf numFmtId="172" fontId="35" fillId="0" borderId="1" xfId="4" applyNumberFormat="1" applyFont="1" applyFill="1" applyBorder="1" applyAlignment="1" applyProtection="1">
      <alignment horizontal="center" vertical="top"/>
    </xf>
    <xf numFmtId="172" fontId="35" fillId="0" borderId="1" xfId="4" applyNumberFormat="1" applyFont="1" applyFill="1" applyBorder="1" applyAlignment="1" applyProtection="1">
      <alignment horizontal="center" vertical="top" wrapText="1"/>
    </xf>
    <xf numFmtId="165" fontId="35" fillId="0" borderId="1" xfId="2" quotePrefix="1" applyFont="1" applyBorder="1" applyAlignment="1">
      <alignment horizontal="center" vertical="top" wrapText="1"/>
    </xf>
    <xf numFmtId="49" fontId="5" fillId="0" borderId="1" xfId="2" applyNumberFormat="1" applyFont="1" applyBorder="1" applyAlignment="1">
      <alignment horizontal="left" vertical="top" wrapText="1"/>
    </xf>
    <xf numFmtId="165" fontId="5" fillId="0" borderId="17" xfId="2" applyFont="1" applyBorder="1" applyAlignment="1">
      <alignment horizontal="left" vertical="top" wrapText="1"/>
    </xf>
    <xf numFmtId="165" fontId="5" fillId="0" borderId="0" xfId="2" applyFont="1" applyAlignment="1">
      <alignment horizontal="left" vertical="top"/>
    </xf>
    <xf numFmtId="0" fontId="5" fillId="0" borderId="0" xfId="0" applyFont="1"/>
    <xf numFmtId="165" fontId="4" fillId="2" borderId="1" xfId="2" applyFont="1" applyFill="1" applyBorder="1" applyAlignment="1">
      <alignment horizontal="left" vertical="center" wrapText="1"/>
    </xf>
    <xf numFmtId="165" fontId="4" fillId="0" borderId="1" xfId="2" applyFont="1" applyBorder="1" applyAlignment="1">
      <alignment horizontal="center" vertical="center" wrapText="1"/>
    </xf>
    <xf numFmtId="165" fontId="5" fillId="0" borderId="1" xfId="2" applyFont="1" applyBorder="1" applyAlignment="1">
      <alignment horizontal="left" vertical="top" wrapText="1"/>
    </xf>
    <xf numFmtId="0" fontId="5" fillId="0" borderId="1" xfId="6" applyFont="1" applyBorder="1" applyAlignment="1">
      <alignment horizontal="center" vertical="top" wrapText="1"/>
    </xf>
    <xf numFmtId="165" fontId="5" fillId="0" borderId="1" xfId="2" quotePrefix="1" applyFont="1" applyBorder="1" applyAlignment="1">
      <alignment horizontal="center" vertical="top" wrapText="1"/>
    </xf>
    <xf numFmtId="165" fontId="4" fillId="0" borderId="39" xfId="2" applyFont="1" applyBorder="1" applyAlignment="1">
      <alignment vertical="center" wrapText="1"/>
    </xf>
    <xf numFmtId="165" fontId="4" fillId="0" borderId="38" xfId="2" applyFont="1" applyBorder="1" applyAlignment="1">
      <alignment horizontal="center" vertical="center" wrapText="1"/>
    </xf>
    <xf numFmtId="165" fontId="12" fillId="0" borderId="17" xfId="2" applyFont="1" applyBorder="1" applyAlignment="1">
      <alignment horizontal="left" vertical="top"/>
    </xf>
    <xf numFmtId="165" fontId="12" fillId="0" borderId="0" xfId="2" applyFont="1" applyAlignment="1">
      <alignment horizontal="left" vertical="top"/>
    </xf>
    <xf numFmtId="0" fontId="12" fillId="0" borderId="0" xfId="0" applyFont="1"/>
    <xf numFmtId="165" fontId="4" fillId="0" borderId="21" xfId="2" applyFont="1" applyBorder="1" applyAlignment="1">
      <alignment horizontal="center" vertical="center" wrapText="1"/>
    </xf>
    <xf numFmtId="165" fontId="5" fillId="0" borderId="17" xfId="2" applyFont="1" applyBorder="1" applyAlignment="1">
      <alignment horizontal="left" vertical="top"/>
    </xf>
    <xf numFmtId="165" fontId="30" fillId="0" borderId="21" xfId="2" applyFont="1" applyBorder="1" applyAlignment="1">
      <alignment vertical="center" wrapText="1"/>
    </xf>
    <xf numFmtId="165" fontId="35" fillId="0" borderId="1" xfId="2" applyFont="1" applyBorder="1" applyAlignment="1">
      <alignment horizontal="left" vertical="top" wrapText="1" indent="2"/>
    </xf>
    <xf numFmtId="174" fontId="35" fillId="25" borderId="1" xfId="11" applyNumberFormat="1" applyFont="1" applyFill="1" applyBorder="1" applyAlignment="1" applyProtection="1">
      <alignment horizontal="center" vertical="top" wrapText="1"/>
    </xf>
    <xf numFmtId="166" fontId="35" fillId="0" borderId="1" xfId="11" applyNumberFormat="1" applyFont="1" applyBorder="1" applyAlignment="1" applyProtection="1">
      <alignment horizontal="center" vertical="top" wrapText="1"/>
    </xf>
    <xf numFmtId="168" fontId="35" fillId="0" borderId="1" xfId="5" applyNumberFormat="1" applyFont="1" applyFill="1" applyBorder="1" applyAlignment="1" applyProtection="1">
      <alignment horizontal="center" vertical="top" wrapText="1"/>
    </xf>
    <xf numFmtId="171" fontId="35" fillId="0" borderId="1" xfId="1" applyNumberFormat="1" applyFont="1" applyFill="1" applyBorder="1" applyAlignment="1" applyProtection="1">
      <alignment horizontal="center" vertical="top" wrapText="1"/>
    </xf>
    <xf numFmtId="165" fontId="35" fillId="0" borderId="17" xfId="2" applyFont="1" applyBorder="1" applyAlignment="1">
      <alignment horizontal="left" vertical="top"/>
    </xf>
    <xf numFmtId="165" fontId="35" fillId="0" borderId="0" xfId="2" applyFont="1" applyAlignment="1">
      <alignment horizontal="left" vertical="top"/>
    </xf>
    <xf numFmtId="0" fontId="35" fillId="0" borderId="0" xfId="0" applyFont="1"/>
    <xf numFmtId="165" fontId="4" fillId="0" borderId="21" xfId="2" applyFont="1" applyBorder="1" applyAlignment="1">
      <alignment vertical="center" wrapText="1"/>
    </xf>
    <xf numFmtId="165" fontId="49" fillId="0" borderId="1" xfId="2" applyFont="1" applyBorder="1" applyAlignment="1">
      <alignment horizontal="left" vertical="top" wrapText="1"/>
    </xf>
    <xf numFmtId="0" fontId="18" fillId="0" borderId="0" xfId="0" applyFont="1" applyAlignment="1">
      <alignment horizontal="left" wrapText="1" indent="3"/>
    </xf>
    <xf numFmtId="165" fontId="31" fillId="3" borderId="1" xfId="2" applyFont="1" applyFill="1" applyBorder="1" applyAlignment="1" applyProtection="1">
      <alignment horizontal="left" vertical="center" wrapText="1"/>
    </xf>
    <xf numFmtId="165" fontId="49" fillId="0" borderId="1" xfId="2" applyFont="1" applyBorder="1" applyAlignment="1" applyProtection="1">
      <alignment horizontal="left" vertical="top" wrapText="1"/>
    </xf>
    <xf numFmtId="171" fontId="49" fillId="0" borderId="1" xfId="1" applyNumberFormat="1" applyFont="1" applyBorder="1" applyAlignment="1" applyProtection="1">
      <alignment horizontal="center" vertical="top" wrapText="1"/>
    </xf>
    <xf numFmtId="2" fontId="31" fillId="0" borderId="2" xfId="1" applyNumberFormat="1" applyFont="1" applyFill="1" applyBorder="1" applyAlignment="1" applyProtection="1">
      <alignment horizontal="center" vertical="top" wrapText="1"/>
    </xf>
    <xf numFmtId="166" fontId="31" fillId="0" borderId="1" xfId="1" applyNumberFormat="1" applyFont="1" applyBorder="1" applyAlignment="1" applyProtection="1">
      <alignment horizontal="center" vertical="top" wrapText="1"/>
    </xf>
    <xf numFmtId="2" fontId="31" fillId="30" borderId="1" xfId="1" applyNumberFormat="1" applyFont="1" applyFill="1" applyBorder="1" applyAlignment="1" applyProtection="1">
      <alignment horizontal="center" vertical="top" wrapText="1"/>
    </xf>
    <xf numFmtId="2" fontId="49" fillId="30" borderId="1" xfId="1" applyNumberFormat="1" applyFont="1" applyFill="1" applyBorder="1" applyAlignment="1" applyProtection="1">
      <alignment horizontal="center" vertical="top" wrapText="1"/>
    </xf>
    <xf numFmtId="166" fontId="49" fillId="0" borderId="1" xfId="1" applyNumberFormat="1" applyFont="1" applyBorder="1" applyAlignment="1" applyProtection="1">
      <alignment horizontal="center" vertical="top" wrapText="1"/>
    </xf>
    <xf numFmtId="0" fontId="49" fillId="0" borderId="1" xfId="1" applyNumberFormat="1" applyFont="1" applyBorder="1" applyAlignment="1" applyProtection="1">
      <alignment horizontal="center" vertical="top" wrapText="1"/>
    </xf>
    <xf numFmtId="0" fontId="37" fillId="0" borderId="0" xfId="0" applyFont="1"/>
    <xf numFmtId="0" fontId="50" fillId="0" borderId="0" xfId="0" applyFont="1"/>
    <xf numFmtId="0" fontId="51" fillId="0" borderId="0" xfId="0" applyFont="1"/>
    <xf numFmtId="170" fontId="5" fillId="0" borderId="1" xfId="12" applyNumberFormat="1" applyFont="1" applyBorder="1" applyAlignment="1" applyProtection="1">
      <alignment horizontal="left" vertical="top" wrapText="1"/>
    </xf>
    <xf numFmtId="0" fontId="36" fillId="0" borderId="0" xfId="0" applyFont="1" applyAlignment="1">
      <alignment horizontal="left" indent="3"/>
    </xf>
    <xf numFmtId="170" fontId="5" fillId="0" borderId="1" xfId="12" applyNumberFormat="1" applyFont="1" applyBorder="1" applyAlignment="1" applyProtection="1">
      <alignment horizontal="left" vertical="top" wrapText="1"/>
    </xf>
    <xf numFmtId="165" fontId="4" fillId="10" borderId="75" xfId="2" applyFont="1" applyFill="1" applyBorder="1" applyAlignment="1" applyProtection="1">
      <alignment horizontal="center" wrapText="1"/>
    </xf>
    <xf numFmtId="165" fontId="4" fillId="10" borderId="76" xfId="2" applyFont="1" applyFill="1" applyBorder="1" applyAlignment="1" applyProtection="1">
      <alignment horizontal="center" wrapText="1"/>
    </xf>
    <xf numFmtId="165" fontId="4" fillId="10" borderId="77" xfId="2" applyFont="1" applyFill="1" applyBorder="1" applyAlignment="1" applyProtection="1">
      <alignment horizontal="center" wrapText="1"/>
    </xf>
    <xf numFmtId="171" fontId="5" fillId="0" borderId="22" xfId="1" applyNumberFormat="1" applyFont="1" applyBorder="1" applyAlignment="1" applyProtection="1">
      <alignment horizontal="center" vertical="top" wrapText="1"/>
    </xf>
    <xf numFmtId="171" fontId="5" fillId="0" borderId="2" xfId="1" applyNumberFormat="1" applyFont="1" applyBorder="1" applyAlignment="1" applyProtection="1">
      <alignment horizontal="center" vertical="top" wrapText="1"/>
    </xf>
    <xf numFmtId="167" fontId="5" fillId="0" borderId="22" xfId="4" applyNumberFormat="1" applyFont="1" applyBorder="1" applyAlignment="1" applyProtection="1">
      <alignment horizontal="center" vertical="top" wrapText="1"/>
    </xf>
    <xf numFmtId="167" fontId="5" fillId="0" borderId="2" xfId="4" applyNumberFormat="1" applyFont="1" applyBorder="1" applyAlignment="1" applyProtection="1">
      <alignment horizontal="center" vertical="top" wrapText="1"/>
    </xf>
    <xf numFmtId="9" fontId="5" fillId="0" borderId="22" xfId="13" applyNumberFormat="1" applyFont="1" applyBorder="1" applyAlignment="1" applyProtection="1">
      <alignment horizontal="center" vertical="top" wrapText="1"/>
    </xf>
    <xf numFmtId="9" fontId="5" fillId="0" borderId="2" xfId="13" applyNumberFormat="1" applyFont="1" applyBorder="1" applyAlignment="1" applyProtection="1">
      <alignment horizontal="center" vertical="top" wrapText="1"/>
    </xf>
    <xf numFmtId="165" fontId="5" fillId="0" borderId="0" xfId="2" applyFont="1" applyBorder="1" applyAlignment="1" applyProtection="1">
      <alignment horizontal="left" vertical="top" wrapText="1"/>
    </xf>
    <xf numFmtId="172" fontId="5" fillId="0" borderId="22" xfId="4" applyNumberFormat="1" applyFont="1" applyBorder="1" applyAlignment="1" applyProtection="1">
      <alignment horizontal="center" vertical="top"/>
    </xf>
    <xf numFmtId="172" fontId="5" fillId="0" borderId="2" xfId="4" applyNumberFormat="1" applyFont="1" applyBorder="1" applyAlignment="1" applyProtection="1">
      <alignment horizontal="center" vertical="top"/>
    </xf>
    <xf numFmtId="172" fontId="5" fillId="0" borderId="22" xfId="4" applyNumberFormat="1" applyFont="1" applyBorder="1" applyAlignment="1" applyProtection="1">
      <alignment horizontal="center" vertical="top" wrapText="1"/>
    </xf>
    <xf numFmtId="172" fontId="5" fillId="0" borderId="2" xfId="4" applyNumberFormat="1" applyFont="1" applyBorder="1" applyAlignment="1" applyProtection="1">
      <alignment horizontal="center" vertical="top" wrapText="1"/>
    </xf>
    <xf numFmtId="165" fontId="4" fillId="24" borderId="76" xfId="2" applyFont="1" applyFill="1" applyBorder="1" applyAlignment="1" applyProtection="1">
      <alignment horizontal="center" wrapText="1"/>
    </xf>
    <xf numFmtId="165" fontId="4" fillId="24" borderId="77" xfId="2" applyFont="1" applyFill="1" applyBorder="1" applyAlignment="1" applyProtection="1">
      <alignment horizontal="center" wrapText="1"/>
    </xf>
    <xf numFmtId="165" fontId="4" fillId="24" borderId="75" xfId="2" applyFont="1" applyFill="1" applyBorder="1" applyAlignment="1" applyProtection="1">
      <alignment horizontal="center" wrapText="1"/>
    </xf>
    <xf numFmtId="170" fontId="4" fillId="22" borderId="75" xfId="2" applyNumberFormat="1" applyFont="1" applyFill="1" applyBorder="1" applyAlignment="1" applyProtection="1">
      <alignment horizontal="center" wrapText="1"/>
    </xf>
    <xf numFmtId="170" fontId="4" fillId="22" borderId="76" xfId="2" applyNumberFormat="1" applyFont="1" applyFill="1" applyBorder="1" applyAlignment="1" applyProtection="1">
      <alignment horizontal="center" wrapText="1"/>
    </xf>
    <xf numFmtId="170" fontId="4" fillId="22" borderId="77" xfId="2" applyNumberFormat="1" applyFont="1" applyFill="1" applyBorder="1" applyAlignment="1" applyProtection="1">
      <alignment horizontal="center" wrapText="1"/>
    </xf>
    <xf numFmtId="170" fontId="4" fillId="16" borderId="24" xfId="2" applyNumberFormat="1" applyFont="1" applyFill="1" applyBorder="1" applyAlignment="1" applyProtection="1">
      <alignment horizontal="center" wrapText="1"/>
    </xf>
    <xf numFmtId="170" fontId="4" fillId="16" borderId="12" xfId="2" applyNumberFormat="1" applyFont="1" applyFill="1" applyBorder="1" applyAlignment="1" applyProtection="1">
      <alignment horizontal="center" wrapText="1"/>
    </xf>
    <xf numFmtId="170" fontId="4" fillId="16" borderId="23" xfId="2" applyNumberFormat="1" applyFont="1" applyFill="1" applyBorder="1" applyAlignment="1" applyProtection="1">
      <alignment horizontal="center" wrapText="1"/>
    </xf>
    <xf numFmtId="170" fontId="4" fillId="16" borderId="48" xfId="2" applyNumberFormat="1" applyFont="1" applyFill="1" applyBorder="1" applyAlignment="1" applyProtection="1">
      <alignment horizontal="center" wrapText="1"/>
    </xf>
    <xf numFmtId="170" fontId="4" fillId="16" borderId="43" xfId="2" applyNumberFormat="1" applyFont="1" applyFill="1" applyBorder="1" applyAlignment="1" applyProtection="1">
      <alignment horizontal="center" wrapText="1"/>
    </xf>
    <xf numFmtId="170" fontId="4" fillId="16" borderId="49" xfId="2" applyNumberFormat="1" applyFont="1" applyFill="1" applyBorder="1" applyAlignment="1" applyProtection="1">
      <alignment horizontal="center" wrapText="1"/>
    </xf>
    <xf numFmtId="170" fontId="4" fillId="31" borderId="27" xfId="2" applyNumberFormat="1" applyFont="1" applyFill="1" applyBorder="1" applyAlignment="1" applyProtection="1">
      <alignment horizontal="center" wrapText="1"/>
    </xf>
    <xf numFmtId="170" fontId="4" fillId="31" borderId="28" xfId="2" applyNumberFormat="1" applyFont="1" applyFill="1" applyBorder="1" applyAlignment="1" applyProtection="1">
      <alignment horizontal="center" wrapText="1"/>
    </xf>
    <xf numFmtId="170" fontId="4" fillId="31" borderId="29" xfId="2" applyNumberFormat="1" applyFont="1" applyFill="1" applyBorder="1" applyAlignment="1" applyProtection="1">
      <alignment horizontal="center" wrapText="1"/>
    </xf>
    <xf numFmtId="170" fontId="5" fillId="0" borderId="0" xfId="2" quotePrefix="1" applyNumberFormat="1" applyFont="1" applyFill="1" applyBorder="1" applyAlignment="1" applyProtection="1">
      <alignment horizontal="left" vertical="top" wrapText="1"/>
    </xf>
    <xf numFmtId="165" fontId="5" fillId="0" borderId="0" xfId="2" applyFont="1" applyBorder="1" applyAlignment="1" applyProtection="1">
      <alignment vertical="center" wrapText="1"/>
    </xf>
    <xf numFmtId="0" fontId="8" fillId="0" borderId="0" xfId="0" applyFont="1" applyFill="1" applyBorder="1" applyAlignment="1" applyProtection="1">
      <alignment horizontal="left" vertical="center" wrapText="1" readingOrder="1"/>
    </xf>
    <xf numFmtId="0" fontId="8" fillId="0" borderId="0" xfId="0" applyFont="1" applyFill="1" applyBorder="1" applyAlignment="1" applyProtection="1">
      <alignment horizontal="left" vertical="top" wrapText="1" readingOrder="1"/>
    </xf>
    <xf numFmtId="1" fontId="5" fillId="0" borderId="0" xfId="6" applyNumberFormat="1" applyFont="1" applyBorder="1" applyAlignment="1" applyProtection="1">
      <alignment horizontal="left" vertical="top" wrapText="1"/>
    </xf>
    <xf numFmtId="0" fontId="5" fillId="0" borderId="0" xfId="0" applyFont="1" applyFill="1" applyBorder="1" applyAlignment="1" applyProtection="1">
      <alignment horizontal="left" vertical="center" wrapText="1" readingOrder="1"/>
    </xf>
    <xf numFmtId="0" fontId="5" fillId="9" borderId="0" xfId="6" applyFont="1" applyFill="1" applyBorder="1" applyAlignment="1" applyProtection="1">
      <alignment horizontal="left" vertical="center" wrapText="1"/>
    </xf>
    <xf numFmtId="170" fontId="5" fillId="0" borderId="0" xfId="2" applyNumberFormat="1" applyFont="1" applyBorder="1" applyAlignment="1" applyProtection="1">
      <alignment horizontal="left" vertical="center" wrapText="1"/>
    </xf>
    <xf numFmtId="0" fontId="5" fillId="0" borderId="0" xfId="0" applyFont="1" applyAlignment="1" applyProtection="1">
      <alignment horizontal="left" vertical="center" wrapText="1"/>
    </xf>
    <xf numFmtId="170" fontId="5" fillId="0" borderId="0" xfId="2" applyNumberFormat="1" applyFont="1" applyBorder="1" applyAlignment="1" applyProtection="1">
      <alignment horizontal="left" vertical="top"/>
    </xf>
    <xf numFmtId="0" fontId="5" fillId="0" borderId="0" xfId="0" applyFont="1" applyAlignment="1" applyProtection="1">
      <alignment horizontal="left" vertical="top" wrapText="1"/>
    </xf>
    <xf numFmtId="9" fontId="5" fillId="0" borderId="0" xfId="0" applyNumberFormat="1" applyFont="1" applyAlignment="1" applyProtection="1">
      <alignment horizontal="left" vertical="center" wrapText="1"/>
    </xf>
    <xf numFmtId="170" fontId="4" fillId="31" borderId="32" xfId="2" applyNumberFormat="1" applyFont="1" applyFill="1" applyBorder="1" applyAlignment="1" applyProtection="1">
      <alignment horizontal="center" wrapText="1"/>
    </xf>
    <xf numFmtId="170" fontId="4" fillId="31" borderId="18" xfId="2" applyNumberFormat="1" applyFont="1" applyFill="1" applyBorder="1" applyAlignment="1" applyProtection="1">
      <alignment horizontal="center" wrapText="1"/>
    </xf>
    <xf numFmtId="170" fontId="4" fillId="31" borderId="30" xfId="2" applyNumberFormat="1" applyFont="1" applyFill="1" applyBorder="1" applyAlignment="1" applyProtection="1">
      <alignment horizontal="center" wrapText="1"/>
    </xf>
    <xf numFmtId="170" fontId="4" fillId="31" borderId="35" xfId="2" applyNumberFormat="1" applyFont="1" applyFill="1" applyBorder="1" applyAlignment="1" applyProtection="1">
      <alignment horizontal="center" wrapText="1"/>
    </xf>
    <xf numFmtId="0" fontId="5" fillId="0" borderId="22" xfId="6" applyFont="1" applyFill="1" applyBorder="1" applyAlignment="1" applyProtection="1">
      <alignment horizontal="center" vertical="top" wrapText="1"/>
    </xf>
    <xf numFmtId="0" fontId="5" fillId="0" borderId="21" xfId="6" applyFont="1" applyFill="1" applyBorder="1" applyAlignment="1" applyProtection="1">
      <alignment horizontal="center" vertical="top" wrapText="1"/>
    </xf>
    <xf numFmtId="0" fontId="5" fillId="0" borderId="2" xfId="6" applyFont="1" applyFill="1" applyBorder="1" applyAlignment="1" applyProtection="1">
      <alignment horizontal="center" vertical="top" wrapText="1"/>
    </xf>
    <xf numFmtId="0" fontId="5" fillId="0" borderId="1" xfId="6" applyFont="1" applyFill="1" applyBorder="1" applyAlignment="1" applyProtection="1">
      <alignment horizontal="center" vertical="top" wrapText="1"/>
    </xf>
    <xf numFmtId="170" fontId="5" fillId="0" borderId="1" xfId="12" applyNumberFormat="1" applyFont="1" applyBorder="1" applyAlignment="1" applyProtection="1">
      <alignment horizontal="left" vertical="top" wrapText="1"/>
    </xf>
    <xf numFmtId="170" fontId="5" fillId="0" borderId="0" xfId="0" applyNumberFormat="1" applyFont="1" applyAlignment="1" applyProtection="1">
      <alignment horizontal="left" wrapText="1"/>
    </xf>
    <xf numFmtId="3" fontId="5" fillId="0" borderId="22" xfId="11" applyNumberFormat="1" applyFont="1" applyBorder="1" applyAlignment="1" applyProtection="1">
      <alignment horizontal="center" vertical="top" wrapText="1"/>
    </xf>
    <xf numFmtId="3" fontId="5" fillId="0" borderId="2" xfId="11" applyNumberFormat="1" applyFont="1" applyBorder="1" applyAlignment="1" applyProtection="1">
      <alignment horizontal="center" vertical="top" wrapText="1"/>
    </xf>
    <xf numFmtId="43" fontId="5" fillId="0" borderId="22" xfId="1" applyFont="1" applyBorder="1" applyAlignment="1" applyProtection="1">
      <alignment horizontal="center" vertical="top" wrapText="1"/>
    </xf>
    <xf numFmtId="43" fontId="5" fillId="0" borderId="2" xfId="1" applyFont="1" applyBorder="1" applyAlignment="1" applyProtection="1">
      <alignment horizontal="center" vertical="top" wrapText="1"/>
    </xf>
    <xf numFmtId="1" fontId="4" fillId="0" borderId="12" xfId="0" applyNumberFormat="1" applyFont="1" applyBorder="1" applyAlignment="1" applyProtection="1">
      <alignment horizontal="center"/>
    </xf>
    <xf numFmtId="165" fontId="4" fillId="0" borderId="10" xfId="2" applyFont="1" applyFill="1" applyBorder="1" applyAlignment="1" applyProtection="1">
      <alignment horizontal="center" wrapText="1"/>
    </xf>
    <xf numFmtId="165" fontId="4" fillId="5" borderId="0" xfId="2" applyFont="1" applyFill="1" applyBorder="1" applyAlignment="1" applyProtection="1">
      <alignment horizontal="center" vertical="center" wrapText="1"/>
    </xf>
    <xf numFmtId="1" fontId="4" fillId="0" borderId="0" xfId="6" applyNumberFormat="1" applyFont="1" applyBorder="1" applyAlignment="1" applyProtection="1">
      <alignment horizontal="center" wrapText="1"/>
    </xf>
    <xf numFmtId="1" fontId="4" fillId="3" borderId="0" xfId="2" applyNumberFormat="1" applyFont="1" applyFill="1" applyBorder="1" applyAlignment="1" applyProtection="1">
      <alignment horizontal="center" vertical="center" wrapText="1"/>
    </xf>
    <xf numFmtId="1" fontId="4" fillId="3" borderId="10" xfId="2" applyNumberFormat="1" applyFont="1" applyFill="1" applyBorder="1" applyAlignment="1" applyProtection="1">
      <alignment horizontal="center" vertical="center" wrapText="1"/>
    </xf>
    <xf numFmtId="1" fontId="21" fillId="0" borderId="0" xfId="6" applyNumberFormat="1" applyFont="1" applyBorder="1" applyAlignment="1" applyProtection="1">
      <alignment horizontal="center" wrapText="1"/>
    </xf>
    <xf numFmtId="1" fontId="4" fillId="0" borderId="0" xfId="0" applyNumberFormat="1" applyFont="1" applyBorder="1" applyAlignment="1" applyProtection="1">
      <alignment horizontal="center"/>
    </xf>
    <xf numFmtId="0" fontId="5" fillId="0" borderId="0" xfId="0" applyFont="1" applyAlignment="1" applyProtection="1">
      <alignment horizontal="left"/>
    </xf>
    <xf numFmtId="166" fontId="5" fillId="0" borderId="22" xfId="1" applyNumberFormat="1" applyFont="1" applyBorder="1" applyAlignment="1" applyProtection="1">
      <alignment horizontal="center" vertical="top" wrapText="1"/>
    </xf>
    <xf numFmtId="166" fontId="5" fillId="0" borderId="2" xfId="1" applyNumberFormat="1" applyFont="1" applyBorder="1" applyAlignment="1" applyProtection="1">
      <alignment horizontal="center" vertical="top" wrapText="1"/>
    </xf>
    <xf numFmtId="9" fontId="5" fillId="0" borderId="22" xfId="5" applyFont="1" applyBorder="1" applyAlignment="1" applyProtection="1">
      <alignment horizontal="center" vertical="top" wrapText="1"/>
    </xf>
    <xf numFmtId="9" fontId="5" fillId="0" borderId="2" xfId="5" applyFont="1" applyBorder="1" applyAlignment="1" applyProtection="1">
      <alignment horizontal="center" vertical="top" wrapText="1"/>
    </xf>
    <xf numFmtId="165" fontId="5" fillId="0" borderId="1" xfId="2" applyFont="1" applyBorder="1" applyAlignment="1" applyProtection="1">
      <alignment horizontal="left" vertical="top" wrapText="1"/>
    </xf>
    <xf numFmtId="170" fontId="4" fillId="14" borderId="26" xfId="2" applyNumberFormat="1" applyFont="1" applyFill="1" applyBorder="1" applyAlignment="1" applyProtection="1">
      <alignment horizontal="center" wrapText="1"/>
    </xf>
    <xf numFmtId="170" fontId="4" fillId="14" borderId="33" xfId="2" applyNumberFormat="1" applyFont="1" applyFill="1" applyBorder="1" applyAlignment="1" applyProtection="1">
      <alignment horizontal="center" wrapText="1"/>
    </xf>
    <xf numFmtId="170" fontId="4" fillId="19" borderId="35" xfId="2" applyNumberFormat="1" applyFont="1" applyFill="1" applyBorder="1" applyAlignment="1" applyProtection="1">
      <alignment horizontal="center" wrapText="1"/>
    </xf>
    <xf numFmtId="170" fontId="4" fillId="19" borderId="31" xfId="2" applyNumberFormat="1" applyFont="1" applyFill="1" applyBorder="1" applyAlignment="1" applyProtection="1">
      <alignment horizontal="center" wrapText="1"/>
    </xf>
    <xf numFmtId="170" fontId="4" fillId="19" borderId="24" xfId="2" applyNumberFormat="1" applyFont="1" applyFill="1" applyBorder="1" applyAlignment="1" applyProtection="1">
      <alignment horizontal="center" wrapText="1"/>
    </xf>
    <xf numFmtId="170" fontId="4" fillId="19" borderId="23" xfId="2" applyNumberFormat="1" applyFont="1" applyFill="1" applyBorder="1" applyAlignment="1" applyProtection="1">
      <alignment horizontal="center" wrapText="1"/>
    </xf>
    <xf numFmtId="170" fontId="4" fillId="19" borderId="30" xfId="2" applyNumberFormat="1" applyFont="1" applyFill="1" applyBorder="1" applyAlignment="1" applyProtection="1">
      <alignment horizontal="center" wrapText="1"/>
    </xf>
    <xf numFmtId="165" fontId="45" fillId="10" borderId="75" xfId="2" applyFont="1" applyFill="1" applyBorder="1" applyAlignment="1" applyProtection="1">
      <alignment horizontal="center" vertical="center" wrapText="1"/>
    </xf>
    <xf numFmtId="165" fontId="45" fillId="10" borderId="76" xfId="2" applyFont="1" applyFill="1" applyBorder="1" applyAlignment="1" applyProtection="1">
      <alignment horizontal="center" vertical="center" wrapText="1"/>
    </xf>
    <xf numFmtId="165" fontId="45" fillId="10" borderId="77" xfId="2" applyFont="1" applyFill="1" applyBorder="1" applyAlignment="1" applyProtection="1">
      <alignment horizontal="center" vertical="center" wrapText="1"/>
    </xf>
    <xf numFmtId="165" fontId="4" fillId="18" borderId="89" xfId="2" applyFont="1" applyFill="1" applyBorder="1" applyAlignment="1" applyProtection="1">
      <alignment horizontal="center"/>
    </xf>
    <xf numFmtId="165" fontId="4" fillId="18" borderId="90" xfId="2" applyFont="1" applyFill="1" applyBorder="1" applyAlignment="1" applyProtection="1">
      <alignment horizontal="center"/>
    </xf>
    <xf numFmtId="165" fontId="4" fillId="18" borderId="75" xfId="2" applyFont="1" applyFill="1" applyBorder="1" applyAlignment="1" applyProtection="1">
      <alignment horizontal="center"/>
    </xf>
    <xf numFmtId="165" fontId="4" fillId="18" borderId="77" xfId="2" applyFont="1" applyFill="1" applyBorder="1" applyAlignment="1" applyProtection="1">
      <alignment horizontal="center"/>
    </xf>
    <xf numFmtId="165" fontId="4" fillId="18" borderId="11" xfId="2" applyFont="1" applyFill="1" applyBorder="1" applyAlignment="1" applyProtection="1">
      <alignment horizontal="center"/>
    </xf>
    <xf numFmtId="165" fontId="4" fillId="18" borderId="44" xfId="2" applyFont="1" applyFill="1" applyBorder="1" applyAlignment="1" applyProtection="1">
      <alignment horizontal="center"/>
    </xf>
    <xf numFmtId="170" fontId="4" fillId="22" borderId="69" xfId="2" applyNumberFormat="1" applyFont="1" applyFill="1" applyBorder="1" applyAlignment="1" applyProtection="1">
      <alignment horizontal="center" wrapText="1"/>
    </xf>
    <xf numFmtId="170" fontId="4" fillId="22" borderId="71" xfId="2" applyNumberFormat="1" applyFont="1" applyFill="1" applyBorder="1" applyAlignment="1" applyProtection="1">
      <alignment horizontal="center" wrapText="1"/>
    </xf>
    <xf numFmtId="165" fontId="4" fillId="14" borderId="75" xfId="2" applyFont="1" applyFill="1" applyBorder="1" applyAlignment="1" applyProtection="1">
      <alignment horizontal="center" wrapText="1"/>
    </xf>
    <xf numFmtId="165" fontId="4" fillId="14" borderId="76" xfId="2" applyFont="1" applyFill="1" applyBorder="1" applyAlignment="1" applyProtection="1">
      <alignment horizontal="center" wrapText="1"/>
    </xf>
    <xf numFmtId="165" fontId="4" fillId="14" borderId="77" xfId="2" applyFont="1" applyFill="1" applyBorder="1" applyAlignment="1" applyProtection="1">
      <alignment horizontal="center" wrapText="1"/>
    </xf>
    <xf numFmtId="165" fontId="5" fillId="0" borderId="1" xfId="2" applyFont="1" applyFill="1" applyBorder="1" applyAlignment="1" applyProtection="1">
      <alignment horizontal="left" vertical="top" wrapText="1"/>
    </xf>
    <xf numFmtId="165" fontId="4" fillId="26" borderId="76" xfId="2" applyFont="1" applyFill="1" applyBorder="1" applyAlignment="1" applyProtection="1">
      <alignment horizontal="center" wrapText="1"/>
    </xf>
    <xf numFmtId="165" fontId="4" fillId="26" borderId="77" xfId="2" applyFont="1" applyFill="1" applyBorder="1" applyAlignment="1" applyProtection="1">
      <alignment horizontal="center" wrapText="1"/>
    </xf>
    <xf numFmtId="165" fontId="4" fillId="24" borderId="87" xfId="2" applyFont="1" applyFill="1" applyBorder="1" applyAlignment="1" applyProtection="1">
      <alignment horizontal="center" wrapText="1"/>
    </xf>
    <xf numFmtId="165" fontId="4" fillId="24" borderId="39" xfId="2" applyFont="1" applyFill="1" applyBorder="1" applyAlignment="1" applyProtection="1">
      <alignment horizontal="center" wrapText="1"/>
    </xf>
    <xf numFmtId="165" fontId="4" fillId="24" borderId="88" xfId="2" applyFont="1" applyFill="1" applyBorder="1" applyAlignment="1" applyProtection="1">
      <alignment horizontal="center" wrapText="1"/>
    </xf>
    <xf numFmtId="165" fontId="4" fillId="33" borderId="75" xfId="2" applyFont="1" applyFill="1" applyBorder="1" applyAlignment="1" applyProtection="1">
      <alignment horizontal="center" wrapText="1"/>
    </xf>
    <xf numFmtId="165" fontId="4" fillId="33" borderId="76" xfId="2" applyFont="1" applyFill="1" applyBorder="1" applyAlignment="1" applyProtection="1">
      <alignment horizontal="center" wrapText="1"/>
    </xf>
    <xf numFmtId="165" fontId="4" fillId="26" borderId="87" xfId="2" applyFont="1" applyFill="1" applyBorder="1" applyAlignment="1" applyProtection="1">
      <alignment horizontal="center" wrapText="1"/>
    </xf>
    <xf numFmtId="165" fontId="4" fillId="26" borderId="39" xfId="2" applyFont="1" applyFill="1" applyBorder="1" applyAlignment="1" applyProtection="1">
      <alignment horizontal="center" wrapText="1"/>
    </xf>
    <xf numFmtId="165" fontId="4" fillId="26" borderId="88" xfId="2" applyFont="1" applyFill="1" applyBorder="1" applyAlignment="1" applyProtection="1">
      <alignment horizontal="center" wrapText="1"/>
    </xf>
    <xf numFmtId="165" fontId="4" fillId="26" borderId="75" xfId="2" applyFont="1" applyFill="1" applyBorder="1" applyAlignment="1" applyProtection="1">
      <alignment horizontal="center" wrapText="1"/>
    </xf>
    <xf numFmtId="165" fontId="5" fillId="0" borderId="22" xfId="2" applyFont="1" applyFill="1" applyBorder="1" applyAlignment="1" applyProtection="1">
      <alignment horizontal="left" vertical="top" wrapText="1"/>
    </xf>
    <xf numFmtId="165" fontId="5" fillId="0" borderId="21" xfId="2" applyFont="1" applyFill="1" applyBorder="1" applyAlignment="1" applyProtection="1">
      <alignment horizontal="left" vertical="top" wrapText="1"/>
    </xf>
    <xf numFmtId="165" fontId="5" fillId="0" borderId="2" xfId="2" applyFont="1" applyFill="1" applyBorder="1" applyAlignment="1" applyProtection="1">
      <alignment horizontal="left" vertical="top" wrapText="1"/>
    </xf>
    <xf numFmtId="165" fontId="4" fillId="10" borderId="69" xfId="2" applyFont="1" applyFill="1" applyBorder="1" applyAlignment="1" applyProtection="1">
      <alignment horizontal="center" wrapText="1"/>
    </xf>
    <xf numFmtId="165" fontId="4" fillId="10" borderId="70" xfId="2" applyFont="1" applyFill="1" applyBorder="1" applyAlignment="1" applyProtection="1">
      <alignment horizontal="center" wrapText="1"/>
    </xf>
    <xf numFmtId="165" fontId="4" fillId="10" borderId="71" xfId="2" applyFont="1" applyFill="1" applyBorder="1" applyAlignment="1" applyProtection="1">
      <alignment horizontal="center" wrapText="1"/>
    </xf>
    <xf numFmtId="165" fontId="4" fillId="10" borderId="66" xfId="2" applyFont="1" applyFill="1" applyBorder="1" applyAlignment="1" applyProtection="1">
      <alignment horizontal="center" wrapText="1"/>
    </xf>
    <xf numFmtId="165" fontId="4" fillId="10" borderId="67" xfId="2" applyFont="1" applyFill="1" applyBorder="1" applyAlignment="1" applyProtection="1">
      <alignment horizontal="center" wrapText="1"/>
    </xf>
    <xf numFmtId="165" fontId="4" fillId="10" borderId="68" xfId="2" applyFont="1" applyFill="1" applyBorder="1" applyAlignment="1" applyProtection="1">
      <alignment horizontal="center" wrapText="1"/>
    </xf>
    <xf numFmtId="165" fontId="5" fillId="0" borderId="1" xfId="2" applyFont="1" applyBorder="1" applyAlignment="1" applyProtection="1">
      <alignment horizontal="center" vertical="top" wrapText="1"/>
    </xf>
    <xf numFmtId="165" fontId="4" fillId="10" borderId="72" xfId="2" applyFont="1" applyFill="1" applyBorder="1" applyAlignment="1" applyProtection="1">
      <alignment horizontal="center" wrapText="1"/>
    </xf>
    <xf numFmtId="165" fontId="4" fillId="10" borderId="73" xfId="2" applyFont="1" applyFill="1" applyBorder="1" applyAlignment="1" applyProtection="1">
      <alignment horizontal="center" wrapText="1"/>
    </xf>
    <xf numFmtId="165" fontId="4" fillId="10" borderId="74" xfId="2" applyFont="1" applyFill="1" applyBorder="1" applyAlignment="1" applyProtection="1">
      <alignment horizontal="center" wrapText="1"/>
    </xf>
    <xf numFmtId="165" fontId="5" fillId="0" borderId="21" xfId="2" applyFont="1" applyFill="1" applyBorder="1" applyAlignment="1" applyProtection="1">
      <alignment horizontal="center" wrapText="1"/>
    </xf>
    <xf numFmtId="165" fontId="5" fillId="0" borderId="2" xfId="2" applyFont="1" applyFill="1" applyBorder="1" applyAlignment="1" applyProtection="1">
      <alignment horizontal="center" wrapText="1"/>
    </xf>
    <xf numFmtId="3" fontId="5" fillId="0" borderId="21" xfId="11" applyNumberFormat="1" applyFont="1" applyBorder="1" applyAlignment="1" applyProtection="1">
      <alignment horizontal="center" vertical="top" wrapText="1"/>
    </xf>
    <xf numFmtId="1" fontId="4" fillId="0" borderId="28" xfId="0" applyNumberFormat="1" applyFont="1" applyBorder="1" applyAlignment="1" applyProtection="1">
      <alignment horizontal="center"/>
    </xf>
    <xf numFmtId="1" fontId="4" fillId="0" borderId="9" xfId="6" applyNumberFormat="1" applyFont="1" applyBorder="1" applyAlignment="1" applyProtection="1">
      <alignment horizontal="center" wrapText="1"/>
    </xf>
    <xf numFmtId="1" fontId="4" fillId="0" borderId="12" xfId="6" applyNumberFormat="1" applyFont="1" applyBorder="1" applyAlignment="1" applyProtection="1">
      <alignment horizontal="center" wrapText="1"/>
    </xf>
    <xf numFmtId="165" fontId="4" fillId="17" borderId="72" xfId="2" applyFont="1" applyFill="1" applyBorder="1" applyAlignment="1" applyProtection="1">
      <alignment horizontal="center" wrapText="1"/>
    </xf>
    <xf numFmtId="165" fontId="4" fillId="17" borderId="73" xfId="2" applyFont="1" applyFill="1" applyBorder="1" applyAlignment="1" applyProtection="1">
      <alignment horizontal="center" wrapText="1"/>
    </xf>
    <xf numFmtId="165" fontId="4" fillId="17" borderId="74" xfId="2" applyFont="1" applyFill="1" applyBorder="1" applyAlignment="1" applyProtection="1">
      <alignment horizontal="center" wrapText="1"/>
    </xf>
    <xf numFmtId="1" fontId="31" fillId="15" borderId="78" xfId="2" applyNumberFormat="1" applyFont="1" applyFill="1" applyBorder="1" applyAlignment="1" applyProtection="1">
      <alignment horizontal="center" wrapText="1"/>
    </xf>
    <xf numFmtId="1" fontId="4" fillId="15" borderId="79" xfId="2" applyNumberFormat="1" applyFont="1" applyFill="1" applyBorder="1" applyAlignment="1" applyProtection="1">
      <alignment horizontal="center" wrapText="1"/>
    </xf>
    <xf numFmtId="1" fontId="4" fillId="15" borderId="81" xfId="2" applyNumberFormat="1" applyFont="1" applyFill="1" applyBorder="1" applyAlignment="1" applyProtection="1">
      <alignment horizontal="center" wrapText="1"/>
    </xf>
    <xf numFmtId="1" fontId="4" fillId="15" borderId="82" xfId="2" applyNumberFormat="1" applyFont="1" applyFill="1" applyBorder="1" applyAlignment="1" applyProtection="1">
      <alignment horizontal="center" wrapText="1"/>
    </xf>
    <xf numFmtId="1" fontId="4" fillId="15" borderId="48" xfId="2" applyNumberFormat="1" applyFont="1" applyFill="1" applyBorder="1" applyAlignment="1" applyProtection="1">
      <alignment horizontal="center" wrapText="1"/>
    </xf>
    <xf numFmtId="1" fontId="4" fillId="15" borderId="43" xfId="2" applyNumberFormat="1" applyFont="1" applyFill="1" applyBorder="1" applyAlignment="1" applyProtection="1">
      <alignment horizontal="center" wrapText="1"/>
    </xf>
    <xf numFmtId="1" fontId="4" fillId="15" borderId="75" xfId="2" applyNumberFormat="1" applyFont="1" applyFill="1" applyBorder="1" applyAlignment="1" applyProtection="1">
      <alignment horizontal="center" wrapText="1"/>
    </xf>
    <xf numFmtId="1" fontId="4" fillId="15" borderId="76" xfId="2" applyNumberFormat="1" applyFont="1" applyFill="1" applyBorder="1" applyAlignment="1" applyProtection="1">
      <alignment horizontal="center" wrapText="1"/>
    </xf>
    <xf numFmtId="1" fontId="4" fillId="15" borderId="77" xfId="2" applyNumberFormat="1" applyFont="1" applyFill="1" applyBorder="1" applyAlignment="1" applyProtection="1">
      <alignment horizontal="center" wrapText="1"/>
    </xf>
    <xf numFmtId="1" fontId="4" fillId="14" borderId="45" xfId="2" applyNumberFormat="1" applyFont="1" applyFill="1" applyBorder="1" applyAlignment="1" applyProtection="1">
      <alignment horizontal="center" wrapText="1"/>
    </xf>
    <xf numFmtId="1" fontId="4" fillId="14" borderId="9" xfId="2" applyNumberFormat="1" applyFont="1" applyFill="1" applyBorder="1" applyAlignment="1" applyProtection="1">
      <alignment horizontal="center" wrapText="1"/>
    </xf>
    <xf numFmtId="1" fontId="4" fillId="14" borderId="84" xfId="2" applyNumberFormat="1" applyFont="1" applyFill="1" applyBorder="1" applyAlignment="1" applyProtection="1">
      <alignment horizontal="center" wrapText="1"/>
    </xf>
    <xf numFmtId="165" fontId="4" fillId="10" borderId="78" xfId="2" applyFont="1" applyFill="1" applyBorder="1" applyAlignment="1" applyProtection="1">
      <alignment horizontal="center" wrapText="1"/>
    </xf>
    <xf numFmtId="165" fontId="4" fillId="10" borderId="50" xfId="2" applyFont="1" applyFill="1" applyBorder="1" applyAlignment="1" applyProtection="1">
      <alignment horizontal="center" wrapText="1"/>
    </xf>
    <xf numFmtId="165" fontId="4" fillId="10" borderId="81" xfId="2" applyFont="1" applyFill="1" applyBorder="1" applyAlignment="1" applyProtection="1">
      <alignment horizontal="center" wrapText="1"/>
    </xf>
    <xf numFmtId="0" fontId="4" fillId="12" borderId="15" xfId="6" applyFont="1" applyFill="1" applyBorder="1" applyAlignment="1" applyProtection="1">
      <alignment horizontal="center" vertical="center" textRotation="90" wrapText="1"/>
    </xf>
    <xf numFmtId="170" fontId="5" fillId="0" borderId="0" xfId="2" quotePrefix="1" applyNumberFormat="1" applyFont="1" applyBorder="1" applyAlignment="1" applyProtection="1">
      <alignment horizontal="left" vertical="top" wrapText="1"/>
    </xf>
    <xf numFmtId="165" fontId="4" fillId="4" borderId="15" xfId="2" applyFont="1" applyFill="1" applyBorder="1" applyAlignment="1" applyProtection="1">
      <alignment horizontal="center" vertical="center" textRotation="90"/>
    </xf>
    <xf numFmtId="37" fontId="5" fillId="0" borderId="22" xfId="1" applyNumberFormat="1" applyFont="1" applyBorder="1" applyAlignment="1" applyProtection="1">
      <alignment horizontal="center" vertical="top" wrapText="1"/>
    </xf>
    <xf numFmtId="37" fontId="5" fillId="0" borderId="2" xfId="1" applyNumberFormat="1" applyFont="1" applyBorder="1" applyAlignment="1" applyProtection="1">
      <alignment horizontal="center" vertical="top" wrapText="1"/>
    </xf>
    <xf numFmtId="165" fontId="4" fillId="7" borderId="22" xfId="2" applyFont="1" applyFill="1" applyBorder="1" applyAlignment="1" applyProtection="1">
      <alignment horizontal="center" vertical="center" wrapText="1"/>
    </xf>
    <xf numFmtId="165" fontId="4" fillId="7" borderId="2" xfId="2" applyFont="1" applyFill="1" applyBorder="1" applyAlignment="1" applyProtection="1">
      <alignment horizontal="center" vertical="center" wrapText="1"/>
    </xf>
    <xf numFmtId="165" fontId="4" fillId="0" borderId="22" xfId="2" applyFont="1" applyFill="1" applyBorder="1" applyAlignment="1" applyProtection="1">
      <alignment horizontal="center" vertical="center" wrapText="1"/>
    </xf>
    <xf numFmtId="165" fontId="4" fillId="0" borderId="2" xfId="2" applyFont="1" applyFill="1" applyBorder="1" applyAlignment="1" applyProtection="1">
      <alignment horizontal="center" vertical="center" wrapText="1"/>
    </xf>
    <xf numFmtId="165" fontId="5" fillId="0" borderId="22" xfId="2" applyFont="1" applyBorder="1" applyAlignment="1" applyProtection="1">
      <alignment horizontal="left" vertical="top" wrapText="1"/>
    </xf>
    <xf numFmtId="165" fontId="5" fillId="0" borderId="2" xfId="2" applyFont="1" applyBorder="1" applyAlignment="1" applyProtection="1">
      <alignment horizontal="left" vertical="top" wrapText="1"/>
    </xf>
    <xf numFmtId="165" fontId="5" fillId="0" borderId="22" xfId="2" applyFont="1" applyBorder="1" applyAlignment="1" applyProtection="1">
      <alignment horizontal="center" vertical="top" wrapText="1"/>
    </xf>
    <xf numFmtId="165" fontId="5" fillId="0" borderId="2" xfId="2" applyFont="1" applyBorder="1" applyAlignment="1" applyProtection="1">
      <alignment horizontal="center" vertical="top" wrapText="1"/>
    </xf>
    <xf numFmtId="165" fontId="5" fillId="0" borderId="22" xfId="2" applyFont="1" applyFill="1" applyBorder="1" applyAlignment="1" applyProtection="1">
      <alignment horizontal="center" vertical="top" wrapText="1"/>
    </xf>
    <xf numFmtId="165" fontId="5" fillId="0" borderId="2" xfId="2" applyFont="1" applyFill="1" applyBorder="1" applyAlignment="1" applyProtection="1">
      <alignment horizontal="center" vertical="top" wrapText="1"/>
    </xf>
    <xf numFmtId="0" fontId="5" fillId="0" borderId="0" xfId="0" applyFont="1" applyAlignment="1" applyProtection="1">
      <alignment horizontal="left" vertical="top"/>
    </xf>
    <xf numFmtId="165" fontId="4" fillId="5" borderId="15" xfId="2" applyFont="1" applyFill="1" applyBorder="1" applyAlignment="1" applyProtection="1">
      <alignment horizontal="center" vertical="center" textRotation="90"/>
    </xf>
    <xf numFmtId="165" fontId="4" fillId="6" borderId="15" xfId="2" applyFont="1" applyFill="1" applyBorder="1" applyAlignment="1" applyProtection="1">
      <alignment horizontal="center" vertical="center" textRotation="90"/>
    </xf>
    <xf numFmtId="165" fontId="4" fillId="3" borderId="34" xfId="2" applyFont="1" applyFill="1" applyBorder="1" applyAlignment="1" applyProtection="1">
      <alignment horizontal="center" vertical="center" textRotation="90"/>
    </xf>
    <xf numFmtId="165" fontId="4" fillId="3" borderId="13" xfId="2" applyFont="1" applyFill="1" applyBorder="1" applyAlignment="1" applyProtection="1">
      <alignment horizontal="center" vertical="center" textRotation="90"/>
    </xf>
    <xf numFmtId="165" fontId="4" fillId="3" borderId="14" xfId="2" applyFont="1" applyFill="1" applyBorder="1" applyAlignment="1" applyProtection="1">
      <alignment horizontal="center" vertical="center" textRotation="90"/>
    </xf>
    <xf numFmtId="165" fontId="4" fillId="7" borderId="1" xfId="2" applyFont="1" applyFill="1" applyBorder="1" applyAlignment="1" applyProtection="1">
      <alignment horizontal="left" vertical="center" wrapText="1"/>
    </xf>
    <xf numFmtId="165" fontId="4" fillId="7" borderId="13" xfId="2" applyFont="1" applyFill="1" applyBorder="1" applyAlignment="1" applyProtection="1">
      <alignment horizontal="center" vertical="center" textRotation="90"/>
    </xf>
    <xf numFmtId="165" fontId="4" fillId="7" borderId="37" xfId="2" applyFont="1" applyFill="1" applyBorder="1" applyAlignment="1" applyProtection="1">
      <alignment horizontal="center" vertical="center" textRotation="90"/>
    </xf>
    <xf numFmtId="165" fontId="4" fillId="7" borderId="36" xfId="2" applyFont="1" applyFill="1" applyBorder="1" applyAlignment="1" applyProtection="1">
      <alignment horizontal="center" vertical="center" textRotation="90"/>
    </xf>
    <xf numFmtId="165" fontId="4" fillId="7" borderId="34" xfId="2" applyFont="1" applyFill="1" applyBorder="1" applyAlignment="1" applyProtection="1">
      <alignment horizontal="center" vertical="center" textRotation="90"/>
    </xf>
    <xf numFmtId="165" fontId="4" fillId="10" borderId="79" xfId="2" applyFont="1" applyFill="1" applyBorder="1" applyAlignment="1" applyProtection="1">
      <alignment horizontal="center" wrapText="1"/>
    </xf>
    <xf numFmtId="165" fontId="4" fillId="10" borderId="80" xfId="2" applyFont="1" applyFill="1" applyBorder="1" applyAlignment="1" applyProtection="1">
      <alignment horizontal="center" wrapText="1"/>
    </xf>
    <xf numFmtId="165" fontId="4" fillId="10" borderId="82" xfId="2" applyFont="1" applyFill="1" applyBorder="1" applyAlignment="1" applyProtection="1">
      <alignment horizontal="center" wrapText="1"/>
    </xf>
    <xf numFmtId="0" fontId="4" fillId="21" borderId="15" xfId="6" applyFont="1" applyFill="1" applyBorder="1" applyAlignment="1" applyProtection="1">
      <alignment horizontal="center" vertical="center" textRotation="90" wrapText="1"/>
    </xf>
    <xf numFmtId="0" fontId="4" fillId="21" borderId="19" xfId="6" applyFont="1" applyFill="1" applyBorder="1" applyAlignment="1" applyProtection="1">
      <alignment horizontal="center" vertical="center" textRotation="90" wrapText="1"/>
    </xf>
    <xf numFmtId="165" fontId="5" fillId="10" borderId="75" xfId="2" applyFont="1" applyFill="1" applyBorder="1" applyAlignment="1" applyProtection="1">
      <alignment horizontal="center"/>
    </xf>
    <xf numFmtId="165" fontId="5" fillId="10" borderId="76" xfId="2" applyFont="1" applyFill="1" applyBorder="1" applyAlignment="1" applyProtection="1">
      <alignment horizontal="center"/>
    </xf>
    <xf numFmtId="165" fontId="5" fillId="10" borderId="77" xfId="2" applyFont="1" applyFill="1" applyBorder="1" applyAlignment="1" applyProtection="1">
      <alignment horizontal="center"/>
    </xf>
    <xf numFmtId="165" fontId="4" fillId="2" borderId="13" xfId="2" applyFont="1" applyFill="1" applyBorder="1" applyAlignment="1" applyProtection="1">
      <alignment horizontal="center" vertical="center" textRotation="90"/>
    </xf>
    <xf numFmtId="165" fontId="4" fillId="2" borderId="14" xfId="2" applyFont="1" applyFill="1" applyBorder="1" applyAlignment="1" applyProtection="1">
      <alignment horizontal="center" vertical="center" textRotation="90"/>
    </xf>
    <xf numFmtId="165" fontId="4" fillId="7" borderId="14" xfId="2" applyFont="1" applyFill="1" applyBorder="1" applyAlignment="1" applyProtection="1">
      <alignment horizontal="center" vertical="center" textRotation="90"/>
    </xf>
    <xf numFmtId="165" fontId="5" fillId="0" borderId="1" xfId="2" applyFont="1" applyFill="1" applyBorder="1" applyAlignment="1" applyProtection="1">
      <alignment horizontal="center" vertical="top" wrapText="1"/>
    </xf>
    <xf numFmtId="0" fontId="4" fillId="13" borderId="15" xfId="6" applyFont="1" applyFill="1" applyBorder="1" applyAlignment="1" applyProtection="1">
      <alignment horizontal="center" vertical="center" textRotation="90" wrapText="1"/>
    </xf>
    <xf numFmtId="165" fontId="4" fillId="0" borderId="21" xfId="2" applyFont="1" applyFill="1" applyBorder="1" applyAlignment="1" applyProtection="1">
      <alignment horizontal="center" vertical="center" wrapText="1"/>
    </xf>
    <xf numFmtId="0" fontId="4" fillId="12" borderId="1" xfId="6" applyFont="1" applyFill="1" applyBorder="1" applyAlignment="1" applyProtection="1">
      <alignment horizontal="center" vertical="center" wrapText="1"/>
    </xf>
    <xf numFmtId="165" fontId="4" fillId="8" borderId="1" xfId="2" applyFont="1" applyFill="1" applyBorder="1" applyAlignment="1" applyProtection="1">
      <alignment horizontal="left" vertical="center" wrapText="1"/>
    </xf>
    <xf numFmtId="1" fontId="4" fillId="0" borderId="12" xfId="2" applyNumberFormat="1" applyFont="1" applyFill="1" applyBorder="1" applyAlignment="1" applyProtection="1">
      <alignment horizontal="center" vertical="center" wrapText="1"/>
    </xf>
    <xf numFmtId="1" fontId="4" fillId="4" borderId="12" xfId="2" applyNumberFormat="1" applyFont="1" applyFill="1" applyBorder="1" applyAlignment="1" applyProtection="1">
      <alignment horizontal="center" vertical="center" wrapText="1"/>
    </xf>
    <xf numFmtId="0" fontId="4" fillId="9" borderId="3" xfId="0" applyFont="1" applyFill="1" applyBorder="1" applyAlignment="1" applyProtection="1">
      <alignment horizontal="center"/>
    </xf>
    <xf numFmtId="0" fontId="8" fillId="0" borderId="0" xfId="0" applyFont="1" applyBorder="1" applyAlignment="1" applyProtection="1">
      <alignment horizontal="left" vertical="top" wrapText="1" readingOrder="1"/>
    </xf>
    <xf numFmtId="1" fontId="4" fillId="7" borderId="12" xfId="2" applyNumberFormat="1" applyFont="1" applyFill="1" applyBorder="1" applyAlignment="1" applyProtection="1">
      <alignment horizontal="center" vertical="center" wrapText="1"/>
    </xf>
    <xf numFmtId="170" fontId="4" fillId="0" borderId="10" xfId="0" applyNumberFormat="1" applyFont="1" applyBorder="1" applyAlignment="1" applyProtection="1">
      <alignment horizontal="center"/>
    </xf>
    <xf numFmtId="165" fontId="4" fillId="10" borderId="21" xfId="2" applyFont="1" applyFill="1" applyBorder="1" applyAlignment="1" applyProtection="1">
      <alignment horizontal="center" wrapText="1"/>
    </xf>
    <xf numFmtId="165" fontId="4" fillId="10" borderId="24" xfId="2" applyFont="1" applyFill="1" applyBorder="1" applyAlignment="1" applyProtection="1">
      <alignment horizontal="center" wrapText="1"/>
    </xf>
    <xf numFmtId="165" fontId="4" fillId="10" borderId="2" xfId="2" applyFont="1" applyFill="1" applyBorder="1" applyAlignment="1" applyProtection="1">
      <alignment horizontal="center" wrapText="1"/>
    </xf>
    <xf numFmtId="170" fontId="4" fillId="16" borderId="0" xfId="2" applyNumberFormat="1" applyFont="1" applyFill="1" applyBorder="1" applyAlignment="1" applyProtection="1">
      <alignment horizontal="center" wrapText="1"/>
    </xf>
    <xf numFmtId="170" fontId="4" fillId="16" borderId="57" xfId="2" applyNumberFormat="1" applyFont="1" applyFill="1" applyBorder="1" applyAlignment="1" applyProtection="1">
      <alignment horizontal="center" wrapText="1"/>
    </xf>
    <xf numFmtId="170" fontId="4" fillId="16" borderId="76" xfId="2" applyNumberFormat="1" applyFont="1" applyFill="1" applyBorder="1" applyAlignment="1" applyProtection="1">
      <alignment horizontal="center" wrapText="1"/>
    </xf>
    <xf numFmtId="170" fontId="4" fillId="16" borderId="77" xfId="2" applyNumberFormat="1" applyFont="1" applyFill="1" applyBorder="1" applyAlignment="1" applyProtection="1">
      <alignment horizontal="center" wrapText="1"/>
    </xf>
    <xf numFmtId="170" fontId="4" fillId="16" borderId="75" xfId="2" applyNumberFormat="1" applyFont="1" applyFill="1" applyBorder="1" applyAlignment="1" applyProtection="1">
      <alignment horizontal="center" wrapText="1"/>
    </xf>
    <xf numFmtId="165" fontId="4" fillId="23" borderId="75" xfId="2" applyFont="1" applyFill="1" applyBorder="1" applyAlignment="1" applyProtection="1">
      <alignment horizontal="center" wrapText="1"/>
    </xf>
    <xf numFmtId="165" fontId="4" fillId="23" borderId="77" xfId="2" applyFont="1" applyFill="1" applyBorder="1" applyAlignment="1" applyProtection="1">
      <alignment horizontal="center" wrapText="1"/>
    </xf>
    <xf numFmtId="1" fontId="20" fillId="0" borderId="9" xfId="0" applyNumberFormat="1" applyFont="1" applyBorder="1" applyAlignment="1" applyProtection="1">
      <alignment horizontal="center" vertical="center"/>
    </xf>
    <xf numFmtId="1" fontId="4" fillId="0" borderId="10" xfId="0" applyNumberFormat="1" applyFont="1" applyBorder="1" applyAlignment="1" applyProtection="1">
      <alignment horizontal="center"/>
    </xf>
    <xf numFmtId="1" fontId="4" fillId="0" borderId="9" xfId="0" applyNumberFormat="1" applyFont="1" applyBorder="1" applyAlignment="1" applyProtection="1">
      <alignment horizontal="center" vertical="center" wrapText="1"/>
    </xf>
    <xf numFmtId="1" fontId="4" fillId="0" borderId="0" xfId="0" applyNumberFormat="1" applyFont="1" applyBorder="1" applyAlignment="1" applyProtection="1">
      <alignment horizontal="center" vertical="center" wrapText="1"/>
    </xf>
    <xf numFmtId="1" fontId="4" fillId="0" borderId="10" xfId="0" applyNumberFormat="1" applyFont="1" applyBorder="1" applyAlignment="1" applyProtection="1">
      <alignment horizontal="center" vertical="center" wrapText="1"/>
    </xf>
    <xf numFmtId="170" fontId="4" fillId="0" borderId="9" xfId="0" applyNumberFormat="1" applyFont="1" applyBorder="1" applyAlignment="1" applyProtection="1">
      <alignment horizontal="center" vertical="center" wrapText="1"/>
    </xf>
    <xf numFmtId="170" fontId="4" fillId="0" borderId="0" xfId="0" applyNumberFormat="1" applyFont="1" applyBorder="1" applyAlignment="1" applyProtection="1">
      <alignment horizontal="center" vertical="center" wrapText="1"/>
    </xf>
    <xf numFmtId="170" fontId="4" fillId="0" borderId="10" xfId="0" applyNumberFormat="1" applyFont="1" applyBorder="1" applyAlignment="1" applyProtection="1">
      <alignment horizontal="center" vertical="center" wrapText="1"/>
    </xf>
    <xf numFmtId="1" fontId="4" fillId="0" borderId="0" xfId="2" applyNumberFormat="1" applyFont="1" applyFill="1" applyBorder="1" applyAlignment="1" applyProtection="1">
      <alignment horizontal="center" vertical="center" wrapText="1"/>
    </xf>
    <xf numFmtId="1" fontId="4" fillId="14" borderId="0" xfId="2" applyNumberFormat="1" applyFont="1" applyFill="1" applyBorder="1" applyAlignment="1" applyProtection="1">
      <alignment horizontal="center" wrapText="1"/>
    </xf>
    <xf numFmtId="1" fontId="4" fillId="14" borderId="11" xfId="2" applyNumberFormat="1" applyFont="1" applyFill="1" applyBorder="1" applyAlignment="1" applyProtection="1">
      <alignment horizontal="center" wrapText="1"/>
    </xf>
    <xf numFmtId="170" fontId="5" fillId="0" borderId="22" xfId="12" applyNumberFormat="1" applyFont="1" applyBorder="1" applyAlignment="1" applyProtection="1">
      <alignment horizontal="center" vertical="top" wrapText="1"/>
    </xf>
    <xf numFmtId="170" fontId="5" fillId="0" borderId="2" xfId="12" applyNumberFormat="1" applyFont="1" applyBorder="1" applyAlignment="1" applyProtection="1">
      <alignment horizontal="center" vertical="top" wrapText="1"/>
    </xf>
    <xf numFmtId="167" fontId="5" fillId="0" borderId="22" xfId="4" applyNumberFormat="1" applyFont="1" applyFill="1" applyBorder="1" applyAlignment="1" applyProtection="1">
      <alignment horizontal="center" vertical="top" wrapText="1"/>
    </xf>
    <xf numFmtId="167" fontId="5" fillId="0" borderId="2" xfId="4" applyNumberFormat="1" applyFont="1" applyFill="1" applyBorder="1" applyAlignment="1" applyProtection="1">
      <alignment horizontal="center" vertical="top" wrapText="1"/>
    </xf>
    <xf numFmtId="10" fontId="5" fillId="0" borderId="22" xfId="13" applyNumberFormat="1" applyFont="1" applyBorder="1" applyAlignment="1" applyProtection="1">
      <alignment horizontal="center" vertical="top" wrapText="1"/>
    </xf>
    <xf numFmtId="10" fontId="5" fillId="0" borderId="2" xfId="13" applyNumberFormat="1" applyFont="1" applyBorder="1" applyAlignment="1" applyProtection="1">
      <alignment horizontal="center" vertical="top" wrapText="1"/>
    </xf>
    <xf numFmtId="1" fontId="4" fillId="4" borderId="0" xfId="2" applyNumberFormat="1" applyFont="1" applyFill="1" applyBorder="1" applyAlignment="1" applyProtection="1">
      <alignment horizontal="center" vertical="center" wrapText="1"/>
    </xf>
    <xf numFmtId="170" fontId="4" fillId="31" borderId="87" xfId="2" applyNumberFormat="1" applyFont="1" applyFill="1" applyBorder="1" applyAlignment="1" applyProtection="1">
      <alignment horizontal="center" wrapText="1"/>
    </xf>
    <xf numFmtId="170" fontId="4" fillId="31" borderId="39" xfId="2" applyNumberFormat="1" applyFont="1" applyFill="1" applyBorder="1" applyAlignment="1" applyProtection="1">
      <alignment horizontal="center" wrapText="1"/>
    </xf>
    <xf numFmtId="170" fontId="4" fillId="31" borderId="88" xfId="2" applyNumberFormat="1" applyFont="1" applyFill="1" applyBorder="1" applyAlignment="1" applyProtection="1">
      <alignment horizontal="center" wrapText="1"/>
    </xf>
    <xf numFmtId="170" fontId="4" fillId="31" borderId="0" xfId="2" applyNumberFormat="1" applyFont="1" applyFill="1" applyBorder="1" applyAlignment="1" applyProtection="1">
      <alignment horizontal="center" wrapText="1"/>
    </xf>
    <xf numFmtId="170" fontId="4" fillId="31" borderId="57" xfId="2" applyNumberFormat="1" applyFont="1" applyFill="1" applyBorder="1" applyAlignment="1" applyProtection="1">
      <alignment horizontal="center" wrapText="1"/>
    </xf>
    <xf numFmtId="170" fontId="4" fillId="31" borderId="76" xfId="2" applyNumberFormat="1" applyFont="1" applyFill="1" applyBorder="1" applyAlignment="1" applyProtection="1">
      <alignment horizontal="center" wrapText="1"/>
    </xf>
    <xf numFmtId="170" fontId="4" fillId="31" borderId="77" xfId="2" applyNumberFormat="1" applyFont="1" applyFill="1" applyBorder="1" applyAlignment="1" applyProtection="1">
      <alignment horizontal="center" wrapText="1"/>
    </xf>
    <xf numFmtId="170" fontId="4" fillId="31" borderId="52" xfId="2" applyNumberFormat="1" applyFont="1" applyFill="1" applyBorder="1" applyAlignment="1" applyProtection="1">
      <alignment horizontal="center" wrapText="1"/>
    </xf>
    <xf numFmtId="170" fontId="4" fillId="31" borderId="86" xfId="2" applyNumberFormat="1" applyFont="1" applyFill="1" applyBorder="1" applyAlignment="1" applyProtection="1">
      <alignment horizontal="center" wrapText="1"/>
    </xf>
    <xf numFmtId="170" fontId="4" fillId="31" borderId="64" xfId="2" applyNumberFormat="1" applyFont="1" applyFill="1" applyBorder="1" applyAlignment="1" applyProtection="1">
      <alignment horizontal="center" wrapText="1"/>
    </xf>
    <xf numFmtId="170" fontId="4" fillId="31" borderId="63" xfId="2" applyNumberFormat="1" applyFont="1" applyFill="1" applyBorder="1" applyAlignment="1" applyProtection="1">
      <alignment horizontal="center" wrapText="1"/>
    </xf>
    <xf numFmtId="1" fontId="5" fillId="0" borderId="9" xfId="0" applyNumberFormat="1" applyFont="1" applyBorder="1" applyAlignment="1" applyProtection="1">
      <alignment horizontal="center" vertical="center" wrapText="1"/>
    </xf>
    <xf numFmtId="1" fontId="5" fillId="0" borderId="0" xfId="0" applyNumberFormat="1" applyFont="1" applyBorder="1" applyAlignment="1" applyProtection="1">
      <alignment horizontal="center" vertical="center" wrapText="1"/>
    </xf>
    <xf numFmtId="1" fontId="4" fillId="15" borderId="24" xfId="2" applyNumberFormat="1" applyFont="1" applyFill="1" applyBorder="1" applyAlignment="1" applyProtection="1">
      <alignment horizontal="center" vertical="center" wrapText="1"/>
    </xf>
    <xf numFmtId="1" fontId="4" fillId="15" borderId="12" xfId="2" applyNumberFormat="1" applyFont="1" applyFill="1" applyBorder="1" applyAlignment="1" applyProtection="1">
      <alignment horizontal="center" vertical="center" wrapText="1"/>
    </xf>
    <xf numFmtId="0" fontId="8" fillId="0" borderId="0" xfId="0" applyFont="1" applyBorder="1" applyAlignment="1" applyProtection="1">
      <alignment horizontal="left" vertical="center" wrapText="1" readingOrder="1"/>
    </xf>
    <xf numFmtId="9" fontId="5" fillId="0" borderId="21" xfId="13" applyNumberFormat="1" applyFont="1" applyBorder="1" applyAlignment="1" applyProtection="1">
      <alignment horizontal="center" vertical="top" wrapText="1"/>
    </xf>
    <xf numFmtId="165" fontId="4" fillId="10" borderId="21" xfId="2" applyFont="1" applyFill="1" applyBorder="1" applyAlignment="1" applyProtection="1">
      <alignment horizontal="center"/>
    </xf>
    <xf numFmtId="165" fontId="4" fillId="10" borderId="2" xfId="2" applyFont="1" applyFill="1" applyBorder="1" applyAlignment="1" applyProtection="1">
      <alignment horizontal="center"/>
    </xf>
    <xf numFmtId="165" fontId="4" fillId="23" borderId="48" xfId="2" applyFont="1" applyFill="1" applyBorder="1" applyAlignment="1" applyProtection="1">
      <alignment horizontal="center" wrapText="1"/>
    </xf>
    <xf numFmtId="165" fontId="4" fillId="23" borderId="43" xfId="2" applyFont="1" applyFill="1" applyBorder="1" applyAlignment="1" applyProtection="1">
      <alignment horizontal="center" wrapText="1"/>
    </xf>
    <xf numFmtId="165" fontId="4" fillId="23" borderId="49" xfId="2" applyFont="1" applyFill="1" applyBorder="1" applyAlignment="1" applyProtection="1">
      <alignment horizontal="center" wrapText="1"/>
    </xf>
    <xf numFmtId="165" fontId="4" fillId="23" borderId="9" xfId="2" applyFont="1" applyFill="1" applyBorder="1" applyAlignment="1" applyProtection="1">
      <alignment horizontal="center" wrapText="1"/>
    </xf>
    <xf numFmtId="165" fontId="4" fillId="23" borderId="12" xfId="2" applyFont="1" applyFill="1" applyBorder="1" applyAlignment="1" applyProtection="1">
      <alignment horizontal="center" wrapText="1"/>
    </xf>
    <xf numFmtId="170" fontId="4" fillId="10" borderId="12" xfId="2" applyNumberFormat="1" applyFont="1" applyFill="1" applyBorder="1" applyAlignment="1" applyProtection="1">
      <alignment horizontal="center" wrapText="1"/>
    </xf>
    <xf numFmtId="170" fontId="4" fillId="10" borderId="23" xfId="2" applyNumberFormat="1" applyFont="1" applyFill="1" applyBorder="1" applyAlignment="1" applyProtection="1">
      <alignment horizontal="center" wrapText="1"/>
    </xf>
    <xf numFmtId="170" fontId="29" fillId="32" borderId="0" xfId="2" applyNumberFormat="1" applyFont="1" applyFill="1" applyAlignment="1" applyProtection="1">
      <alignment horizontal="center" vertical="center"/>
    </xf>
    <xf numFmtId="170" fontId="29" fillId="32" borderId="0" xfId="2" applyNumberFormat="1" applyFont="1" applyFill="1" applyBorder="1" applyAlignment="1" applyProtection="1">
      <alignment horizontal="center" vertical="center"/>
    </xf>
    <xf numFmtId="0" fontId="5" fillId="0" borderId="0" xfId="6" applyFont="1" applyBorder="1" applyAlignment="1" applyProtection="1">
      <alignment horizontal="left" vertical="center" wrapText="1"/>
    </xf>
    <xf numFmtId="170" fontId="29" fillId="32" borderId="51" xfId="2" applyNumberFormat="1" applyFont="1" applyFill="1" applyBorder="1" applyAlignment="1" applyProtection="1">
      <alignment horizontal="center" vertical="center"/>
    </xf>
    <xf numFmtId="170" fontId="4" fillId="24" borderId="30" xfId="2" applyNumberFormat="1" applyFont="1" applyFill="1" applyBorder="1" applyAlignment="1" applyProtection="1">
      <alignment horizontal="center" wrapText="1"/>
    </xf>
    <xf numFmtId="170" fontId="4" fillId="24" borderId="21" xfId="2" applyNumberFormat="1" applyFont="1" applyFill="1" applyBorder="1" applyAlignment="1" applyProtection="1">
      <alignment horizontal="center" wrapText="1"/>
    </xf>
    <xf numFmtId="170" fontId="4" fillId="24" borderId="2" xfId="2" applyNumberFormat="1" applyFont="1" applyFill="1" applyBorder="1" applyAlignment="1" applyProtection="1">
      <alignment horizontal="center" wrapText="1"/>
    </xf>
    <xf numFmtId="170" fontId="4" fillId="10" borderId="2" xfId="2" applyNumberFormat="1" applyFont="1" applyFill="1" applyBorder="1" applyAlignment="1" applyProtection="1">
      <alignment horizontal="center" wrapText="1"/>
    </xf>
    <xf numFmtId="170" fontId="4" fillId="10" borderId="21" xfId="2" applyNumberFormat="1" applyFont="1" applyFill="1" applyBorder="1" applyAlignment="1" applyProtection="1">
      <alignment horizontal="center" wrapText="1"/>
    </xf>
    <xf numFmtId="170" fontId="4" fillId="31" borderId="62" xfId="2" applyNumberFormat="1" applyFont="1" applyFill="1" applyBorder="1" applyAlignment="1" applyProtection="1">
      <alignment horizontal="center" wrapText="1"/>
    </xf>
    <xf numFmtId="170" fontId="5" fillId="0" borderId="0" xfId="2" applyNumberFormat="1" applyFont="1" applyFill="1" applyBorder="1" applyAlignment="1" applyProtection="1">
      <alignment horizontal="center" wrapText="1"/>
    </xf>
    <xf numFmtId="170" fontId="5" fillId="0" borderId="11" xfId="2" applyNumberFormat="1" applyFont="1" applyFill="1" applyBorder="1" applyAlignment="1" applyProtection="1">
      <alignment horizontal="center" wrapText="1"/>
    </xf>
    <xf numFmtId="1" fontId="4" fillId="15" borderId="48" xfId="2" applyNumberFormat="1" applyFont="1" applyFill="1" applyBorder="1" applyAlignment="1" applyProtection="1">
      <alignment horizontal="center" vertical="center" wrapText="1"/>
    </xf>
    <xf numFmtId="1" fontId="4" fillId="15" borderId="43" xfId="2" applyNumberFormat="1" applyFont="1" applyFill="1" applyBorder="1" applyAlignment="1" applyProtection="1">
      <alignment horizontal="center" vertical="center" wrapText="1"/>
    </xf>
    <xf numFmtId="1" fontId="4" fillId="15" borderId="49" xfId="2" applyNumberFormat="1" applyFont="1" applyFill="1" applyBorder="1" applyAlignment="1" applyProtection="1">
      <alignment horizontal="center" vertical="center" wrapText="1"/>
    </xf>
    <xf numFmtId="170" fontId="31" fillId="16" borderId="87" xfId="2" applyNumberFormat="1" applyFont="1" applyFill="1" applyBorder="1" applyAlignment="1" applyProtection="1">
      <alignment horizontal="center" wrapText="1"/>
    </xf>
    <xf numFmtId="170" fontId="4" fillId="16" borderId="39" xfId="2" applyNumberFormat="1" applyFont="1" applyFill="1" applyBorder="1" applyAlignment="1" applyProtection="1">
      <alignment horizontal="center" wrapText="1"/>
    </xf>
    <xf numFmtId="170" fontId="4" fillId="16" borderId="88" xfId="2" applyNumberFormat="1" applyFont="1" applyFill="1" applyBorder="1" applyAlignment="1" applyProtection="1">
      <alignment horizontal="center" wrapText="1"/>
    </xf>
    <xf numFmtId="1" fontId="4" fillId="14" borderId="46" xfId="2" applyNumberFormat="1" applyFont="1" applyFill="1" applyBorder="1" applyAlignment="1" applyProtection="1">
      <alignment horizontal="center" wrapText="1"/>
    </xf>
    <xf numFmtId="165" fontId="4" fillId="10" borderId="12" xfId="2" applyFont="1" applyFill="1" applyBorder="1" applyAlignment="1" applyProtection="1">
      <alignment horizontal="center" wrapText="1"/>
    </xf>
    <xf numFmtId="165" fontId="4" fillId="10" borderId="23" xfId="2" applyFont="1" applyFill="1" applyBorder="1" applyAlignment="1" applyProtection="1">
      <alignment horizontal="center" wrapText="1"/>
    </xf>
    <xf numFmtId="164" fontId="4" fillId="15" borderId="45" xfId="2" applyNumberFormat="1" applyFont="1" applyFill="1" applyBorder="1" applyAlignment="1" applyProtection="1">
      <alignment horizontal="center" vertical="center" wrapText="1"/>
    </xf>
    <xf numFmtId="164" fontId="4" fillId="15" borderId="84" xfId="2" applyNumberFormat="1" applyFont="1" applyFill="1" applyBorder="1" applyAlignment="1" applyProtection="1">
      <alignment horizontal="center" vertical="center" wrapText="1"/>
    </xf>
    <xf numFmtId="9" fontId="4" fillId="20" borderId="35" xfId="2" applyNumberFormat="1" applyFont="1" applyFill="1" applyBorder="1" applyAlignment="1" applyProtection="1">
      <alignment horizontal="center" wrapText="1"/>
    </xf>
    <xf numFmtId="9" fontId="4" fillId="20" borderId="52" xfId="2" applyNumberFormat="1" applyFont="1" applyFill="1" applyBorder="1" applyAlignment="1" applyProtection="1">
      <alignment horizontal="center" wrapText="1"/>
    </xf>
    <xf numFmtId="9" fontId="4" fillId="20" borderId="23" xfId="2" applyNumberFormat="1" applyFont="1" applyFill="1" applyBorder="1" applyAlignment="1" applyProtection="1">
      <alignment horizontal="center" wrapText="1"/>
    </xf>
    <xf numFmtId="164" fontId="4" fillId="15" borderId="48" xfId="2" applyNumberFormat="1" applyFont="1" applyFill="1" applyBorder="1" applyAlignment="1" applyProtection="1">
      <alignment horizontal="center" vertical="center" wrapText="1"/>
    </xf>
    <xf numFmtId="164" fontId="4" fillId="15" borderId="43" xfId="2" applyNumberFormat="1" applyFont="1" applyFill="1" applyBorder="1" applyAlignment="1" applyProtection="1">
      <alignment horizontal="center" vertical="center" wrapText="1"/>
    </xf>
    <xf numFmtId="170" fontId="4" fillId="10" borderId="61" xfId="2" applyNumberFormat="1" applyFont="1" applyFill="1" applyBorder="1" applyAlignment="1" applyProtection="1">
      <alignment horizontal="center" wrapText="1"/>
    </xf>
    <xf numFmtId="9" fontId="4" fillId="20" borderId="55" xfId="2" applyNumberFormat="1" applyFont="1" applyFill="1" applyBorder="1" applyAlignment="1" applyProtection="1">
      <alignment horizontal="center" wrapText="1"/>
    </xf>
    <xf numFmtId="9" fontId="4" fillId="20" borderId="56" xfId="2" applyNumberFormat="1" applyFont="1" applyFill="1" applyBorder="1" applyAlignment="1" applyProtection="1">
      <alignment horizontal="center" wrapText="1"/>
    </xf>
    <xf numFmtId="9" fontId="4" fillId="20" borderId="58" xfId="2" applyNumberFormat="1" applyFont="1" applyFill="1" applyBorder="1" applyAlignment="1" applyProtection="1">
      <alignment horizontal="center" wrapText="1"/>
    </xf>
    <xf numFmtId="0" fontId="52" fillId="0" borderId="0" xfId="0" applyFont="1" applyAlignment="1">
      <alignment horizontal="center"/>
    </xf>
    <xf numFmtId="0" fontId="52" fillId="0" borderId="0" xfId="0" applyFont="1" applyAlignment="1">
      <alignment horizontal="center" wrapText="1"/>
    </xf>
    <xf numFmtId="0" fontId="37" fillId="0" borderId="0" xfId="16" applyFont="1" applyAlignment="1">
      <alignment horizontal="center"/>
    </xf>
    <xf numFmtId="1" fontId="23" fillId="0" borderId="48" xfId="0" applyNumberFormat="1" applyFont="1" applyFill="1" applyBorder="1" applyAlignment="1">
      <alignment horizontal="center"/>
    </xf>
    <xf numFmtId="1" fontId="23" fillId="0" borderId="43" xfId="0" applyNumberFormat="1" applyFont="1" applyFill="1" applyBorder="1" applyAlignment="1">
      <alignment horizontal="center"/>
    </xf>
    <xf numFmtId="1" fontId="23" fillId="0" borderId="49" xfId="0" applyNumberFormat="1" applyFont="1" applyFill="1" applyBorder="1" applyAlignment="1">
      <alignment horizontal="center"/>
    </xf>
    <xf numFmtId="0" fontId="23" fillId="0" borderId="9" xfId="0" applyFont="1" applyFill="1" applyBorder="1" applyAlignment="1">
      <alignment horizontal="center"/>
    </xf>
    <xf numFmtId="0" fontId="23" fillId="0" borderId="10" xfId="0" applyFont="1" applyFill="1" applyBorder="1" applyAlignment="1">
      <alignment horizontal="center"/>
    </xf>
    <xf numFmtId="165" fontId="26" fillId="27" borderId="0" xfId="2" applyFont="1" applyFill="1" applyBorder="1" applyAlignment="1" applyProtection="1">
      <alignment horizontal="center" vertical="center" textRotation="90" wrapText="1"/>
    </xf>
    <xf numFmtId="165" fontId="26" fillId="5" borderId="0" xfId="2" applyFont="1" applyFill="1" applyBorder="1" applyAlignment="1" applyProtection="1">
      <alignment horizontal="center" vertical="center" textRotation="90" wrapText="1"/>
    </xf>
    <xf numFmtId="165" fontId="26" fillId="6" borderId="0" xfId="2" applyFont="1" applyFill="1" applyBorder="1" applyAlignment="1" applyProtection="1">
      <alignment horizontal="center" vertical="center" textRotation="90" wrapText="1"/>
    </xf>
    <xf numFmtId="165" fontId="26" fillId="2" borderId="0" xfId="2" applyFont="1" applyFill="1" applyBorder="1" applyAlignment="1" applyProtection="1">
      <alignment horizontal="center" vertical="center" textRotation="90" wrapText="1"/>
    </xf>
    <xf numFmtId="165" fontId="26" fillId="29" borderId="0" xfId="2" applyFont="1" applyFill="1" applyBorder="1" applyAlignment="1" applyProtection="1">
      <alignment horizontal="center" vertical="center" textRotation="90" wrapText="1"/>
    </xf>
    <xf numFmtId="165" fontId="26" fillId="4" borderId="0" xfId="2" applyFont="1" applyFill="1" applyBorder="1" applyAlignment="1" applyProtection="1">
      <alignment horizontal="center" vertical="center" textRotation="90" wrapText="1"/>
    </xf>
  </cellXfs>
  <cellStyles count="20">
    <cellStyle name="Comma" xfId="1" builtinId="3"/>
    <cellStyle name="Comma 2" xfId="11" xr:uid="{00000000-0005-0000-0000-000001000000}"/>
    <cellStyle name="Currency" xfId="4" builtinId="4"/>
    <cellStyle name="Currency 2" xfId="12" xr:uid="{00000000-0005-0000-0000-000003000000}"/>
    <cellStyle name="Excel Built-in Normal" xfId="2" xr:uid="{00000000-0005-0000-0000-000004000000}"/>
    <cellStyle name="Followed Hyperlink" xfId="18" builtinId="9" hidden="1"/>
    <cellStyle name="Followed Hyperlink" xfId="19" builtinId="9" hidden="1"/>
    <cellStyle name="Heading" xfId="7" xr:uid="{00000000-0005-0000-0000-000007000000}"/>
    <cellStyle name="Heading1" xfId="8" xr:uid="{00000000-0005-0000-0000-000008000000}"/>
    <cellStyle name="Hyperlink" xfId="15" builtinId="8"/>
    <cellStyle name="Normal" xfId="0" builtinId="0"/>
    <cellStyle name="Normal 2" xfId="3" xr:uid="{00000000-0005-0000-0000-00000B000000}"/>
    <cellStyle name="Normal 3" xfId="6" xr:uid="{00000000-0005-0000-0000-00000C000000}"/>
    <cellStyle name="Normal 4" xfId="16" xr:uid="{00000000-0005-0000-0000-00000D000000}"/>
    <cellStyle name="Normal_Sheet1" xfId="14" xr:uid="{00000000-0005-0000-0000-00000E000000}"/>
    <cellStyle name="Percent" xfId="5" builtinId="5"/>
    <cellStyle name="Percent 2" xfId="13" xr:uid="{00000000-0005-0000-0000-000010000000}"/>
    <cellStyle name="Percent 3" xfId="17" xr:uid="{00000000-0005-0000-0000-000011000000}"/>
    <cellStyle name="Result" xfId="9" xr:uid="{00000000-0005-0000-0000-000012000000}"/>
    <cellStyle name="Result2" xfId="10" xr:uid="{00000000-0005-0000-0000-000013000000}"/>
  </cellStyles>
  <dxfs count="60">
    <dxf>
      <font>
        <color rgb="FF00E266"/>
      </font>
      <fill>
        <patternFill>
          <bgColor rgb="FF00E266"/>
        </patternFill>
      </fill>
    </dxf>
    <dxf>
      <font>
        <color rgb="FF00E266"/>
      </font>
      <fill>
        <patternFill>
          <bgColor rgb="FF00E266"/>
        </patternFill>
      </fill>
    </dxf>
    <dxf>
      <font>
        <color rgb="FF00E266"/>
      </font>
      <fill>
        <patternFill>
          <bgColor rgb="FF00E266"/>
        </patternFill>
      </fill>
    </dxf>
    <dxf>
      <font>
        <color rgb="FF00E266"/>
      </font>
      <fill>
        <patternFill>
          <bgColor rgb="FF00E266"/>
        </patternFill>
      </fill>
    </dxf>
    <dxf>
      <font>
        <color rgb="FF00E266"/>
      </font>
      <fill>
        <patternFill>
          <bgColor rgb="FF00E266"/>
        </patternFill>
      </fill>
    </dxf>
    <dxf>
      <font>
        <color rgb="FF00E266"/>
      </font>
      <fill>
        <patternFill>
          <bgColor rgb="FF00E266"/>
        </patternFill>
      </fill>
    </dxf>
    <dxf>
      <font>
        <color rgb="FF00E266"/>
      </font>
      <fill>
        <patternFill>
          <bgColor rgb="FF00E266"/>
        </patternFill>
      </fill>
    </dxf>
    <dxf>
      <font>
        <color rgb="FFDBEEF4"/>
      </font>
      <fill>
        <patternFill>
          <bgColor rgb="FFDBEEF4"/>
        </patternFill>
      </fill>
    </dxf>
    <dxf>
      <font>
        <color rgb="FFDBEEF4"/>
      </font>
      <fill>
        <patternFill>
          <bgColor rgb="FFDBEEF4"/>
        </patternFill>
      </fill>
    </dxf>
    <dxf>
      <font>
        <color rgb="FFDBEEF4"/>
      </font>
      <fill>
        <patternFill>
          <bgColor rgb="FFDBEEF4"/>
        </patternFill>
      </fill>
    </dxf>
    <dxf>
      <font>
        <color rgb="FFDBEEF4"/>
      </font>
      <fill>
        <patternFill>
          <bgColor rgb="FFDBEEF4"/>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8EB4E3"/>
      </font>
      <fill>
        <patternFill>
          <bgColor rgb="FF8EB4E3"/>
        </patternFill>
      </fill>
    </dxf>
    <dxf>
      <font>
        <color rgb="FF8EB4E3"/>
      </font>
      <fill>
        <patternFill>
          <bgColor rgb="FF8EB4E3"/>
        </patternFill>
      </fill>
    </dxf>
    <dxf>
      <font>
        <color rgb="FF8EB4E3"/>
      </font>
      <fill>
        <patternFill>
          <bgColor rgb="FF8EB4E3"/>
        </patternFill>
      </fill>
    </dxf>
    <dxf>
      <font>
        <color rgb="FFBFBFBF"/>
      </font>
      <fill>
        <patternFill>
          <bgColor theme="0" tint="-0.24994659260841701"/>
        </patternFill>
      </fill>
    </dxf>
    <dxf>
      <font>
        <color rgb="FFFAC090"/>
      </font>
      <fill>
        <patternFill>
          <bgColor rgb="FFFAC090"/>
        </patternFill>
      </fill>
    </dxf>
    <dxf>
      <font>
        <color rgb="FFDBEEF4"/>
      </font>
      <fill>
        <patternFill>
          <bgColor rgb="FFDBEEF4"/>
        </patternFill>
      </fill>
    </dxf>
    <dxf>
      <font>
        <color rgb="FF8EB4E3"/>
      </font>
      <fill>
        <patternFill>
          <bgColor rgb="FF8EB4E3"/>
        </patternFill>
      </fill>
    </dxf>
    <dxf>
      <font>
        <color rgb="FF9BBB59"/>
      </font>
      <fill>
        <patternFill>
          <bgColor rgb="FF9BBB59"/>
        </patternFill>
      </fill>
    </dxf>
    <dxf>
      <font>
        <color rgb="FFDBEEF4"/>
      </font>
      <fill>
        <patternFill>
          <bgColor rgb="FFDBEEF4"/>
        </patternFill>
      </fill>
    </dxf>
    <dxf>
      <font>
        <color rgb="FFDBEEF4"/>
      </font>
      <fill>
        <patternFill>
          <bgColor rgb="FFDBEEF4"/>
        </patternFill>
      </fill>
    </dxf>
    <dxf>
      <font>
        <color rgb="FFDBEEF4"/>
      </font>
      <fill>
        <patternFill>
          <bgColor rgb="FFDBEEF4"/>
        </patternFill>
      </fill>
    </dxf>
    <dxf>
      <font>
        <color rgb="FFDBEEF4"/>
      </font>
      <fill>
        <patternFill>
          <bgColor rgb="FFDBEEF4"/>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8EB4E3"/>
      </font>
      <fill>
        <patternFill>
          <bgColor rgb="FF8EB4E3"/>
        </patternFill>
      </fill>
    </dxf>
    <dxf>
      <font>
        <color rgb="FF8EB4E3"/>
      </font>
      <fill>
        <patternFill>
          <bgColor rgb="FF8EB4E3"/>
        </patternFill>
      </fill>
    </dxf>
    <dxf>
      <font>
        <color rgb="FF8EB4E3"/>
      </font>
      <fill>
        <patternFill>
          <bgColor rgb="FF8EB4E3"/>
        </patternFill>
      </fill>
    </dxf>
    <dxf>
      <font>
        <color rgb="FF00E266"/>
      </font>
      <fill>
        <patternFill>
          <bgColor rgb="FF00E266"/>
        </patternFill>
      </fill>
    </dxf>
    <dxf>
      <font>
        <color rgb="FFBFBFBF"/>
      </font>
      <fill>
        <patternFill>
          <bgColor theme="0" tint="-0.24994659260841701"/>
        </patternFill>
      </fill>
    </dxf>
    <dxf>
      <font>
        <color rgb="FFFAC090"/>
      </font>
      <fill>
        <patternFill>
          <bgColor rgb="FFFAC090"/>
        </patternFill>
      </fill>
    </dxf>
    <dxf>
      <font>
        <color rgb="FFDBEEF4"/>
      </font>
      <fill>
        <patternFill>
          <bgColor rgb="FFDBEEF4"/>
        </patternFill>
      </fill>
    </dxf>
    <dxf>
      <font>
        <color rgb="FF8EB4E3"/>
      </font>
      <fill>
        <patternFill>
          <bgColor rgb="FF8EB4E3"/>
        </patternFill>
      </fill>
    </dxf>
    <dxf>
      <font>
        <color rgb="FF9BBB59"/>
      </font>
      <fill>
        <patternFill>
          <bgColor rgb="FF9BBB59"/>
        </patternFill>
      </fill>
    </dxf>
  </dxfs>
  <tableStyles count="0" defaultTableStyle="TableStyleMedium9" defaultPivotStyle="PivotStyleMedium7"/>
  <colors>
    <mruColors>
      <color rgb="FFCCFFFF"/>
      <color rgb="FF00E266"/>
      <color rgb="FFDBEEF4"/>
      <color rgb="FFBFBFBF"/>
      <color rgb="FFE8E8E8"/>
      <color rgb="FFEEECE1"/>
      <color rgb="FFFAC090"/>
      <color rgb="FF8EB4E3"/>
      <color rgb="FF00B050"/>
      <color rgb="FF9BBB5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3" Type="http://schemas.openxmlformats.org/officeDocument/2006/relationships/hyperlink" Target="http://www.incinolet.com/" TargetMode="External"/><Relationship Id="rId18" Type="http://schemas.openxmlformats.org/officeDocument/2006/relationships/hyperlink" Target="http://www.epa.gov/owow/watershed/outreach/documents/getnstep.pdf" TargetMode="External"/><Relationship Id="rId26" Type="http://schemas.openxmlformats.org/officeDocument/2006/relationships/hyperlink" Target="http://www.toddecological.com/clients/list.php" TargetMode="External"/><Relationship Id="rId39" Type="http://schemas.openxmlformats.org/officeDocument/2006/relationships/hyperlink" Target="http://water.epa.gov/infrastructure/septic/upload/wetlands-subsurface_flow.pdf" TargetMode="External"/><Relationship Id="rId21" Type="http://schemas.openxmlformats.org/officeDocument/2006/relationships/hyperlink" Target="http://www.ecosanres.org/pdf_files/ToiletsThatMakeCompost.pdf" TargetMode="External"/><Relationship Id="rId34" Type="http://schemas.openxmlformats.org/officeDocument/2006/relationships/hyperlink" Target="http://water.epa.gov/type/wetlands/restore/upload/constructed-wetlands-design-manual.pdf" TargetMode="External"/><Relationship Id="rId42" Type="http://schemas.openxmlformats.org/officeDocument/2006/relationships/hyperlink" Target="http://bayareamonitor.org/index.php?option=com_content&amp;view=article&amp;id=366&amp;Itemid=66" TargetMode="External"/><Relationship Id="rId47" Type="http://schemas.openxmlformats.org/officeDocument/2006/relationships/image" Target="../media/image3.png"/><Relationship Id="rId50" Type="http://schemas.openxmlformats.org/officeDocument/2006/relationships/image" Target="../media/image6.png"/><Relationship Id="rId55" Type="http://schemas.openxmlformats.org/officeDocument/2006/relationships/image" Target="../media/image11.png"/><Relationship Id="rId63" Type="http://schemas.openxmlformats.org/officeDocument/2006/relationships/image" Target="../media/image19.png"/><Relationship Id="rId68" Type="http://schemas.openxmlformats.org/officeDocument/2006/relationships/image" Target="../media/image24.png"/><Relationship Id="rId76" Type="http://schemas.openxmlformats.org/officeDocument/2006/relationships/image" Target="../media/image32.png"/><Relationship Id="rId7" Type="http://schemas.openxmlformats.org/officeDocument/2006/relationships/hyperlink" Target="http://water.epa.gov/type/groundwater/uic/basicinformation.cfm" TargetMode="External"/><Relationship Id="rId71" Type="http://schemas.openxmlformats.org/officeDocument/2006/relationships/image" Target="../media/image27.png"/><Relationship Id="rId2" Type="http://schemas.openxmlformats.org/officeDocument/2006/relationships/hyperlink" Target="http://www.unh.edu/unhsc/sites/unh.edu.unhsc/files/Houle_JEE_July-2013.pdf" TargetMode="External"/><Relationship Id="rId16" Type="http://schemas.openxmlformats.org/officeDocument/2006/relationships/hyperlink" Target="http://www.mass.gov/envir/smart_growth_toolkit/bylaws/TDR-Bylaw.pdf" TargetMode="External"/><Relationship Id="rId29" Type="http://schemas.openxmlformats.org/officeDocument/2006/relationships/hyperlink" Target="http://water.epa.gov/aboutow/owm/upload/2005_07_14_comp.pdf" TargetMode="External"/><Relationship Id="rId11" Type="http://schemas.openxmlformats.org/officeDocument/2006/relationships/hyperlink" Target="http://mvgazette.com/news/2011/12/01/composting-toilets-pitched-better-sewers-protecting-ponds?k=vg524595282974b&amp;r=1" TargetMode="External"/><Relationship Id="rId24" Type="http://schemas.openxmlformats.org/officeDocument/2006/relationships/hyperlink" Target="http://www.unh.edu/unhsc/sites/unh.edu.unhsc/files/pubs_specs_info/unhsc_gravel_wetland_specs_6_09.pdf" TargetMode="External"/><Relationship Id="rId32" Type="http://schemas.openxmlformats.org/officeDocument/2006/relationships/hyperlink" Target="http://www.clu-in.org/conf/itrc/prbtu/prez/ITRC_PRBUpdate_092012ibtpdf.pdf" TargetMode="External"/><Relationship Id="rId37" Type="http://schemas.openxmlformats.org/officeDocument/2006/relationships/hyperlink" Target="http://www.firelandstributaries.net/pdfs/Local%20workgroup/Treatment_Wetlands.pdf" TargetMode="External"/><Relationship Id="rId40" Type="http://schemas.openxmlformats.org/officeDocument/2006/relationships/hyperlink" Target="http://web.vims.edu/GreyLit/VIMS/sramsoe429.pdf" TargetMode="External"/><Relationship Id="rId45" Type="http://schemas.openxmlformats.org/officeDocument/2006/relationships/image" Target="../media/image1.png"/><Relationship Id="rId53" Type="http://schemas.openxmlformats.org/officeDocument/2006/relationships/image" Target="../media/image9.png"/><Relationship Id="rId58" Type="http://schemas.openxmlformats.org/officeDocument/2006/relationships/image" Target="../media/image14.png"/><Relationship Id="rId66" Type="http://schemas.openxmlformats.org/officeDocument/2006/relationships/image" Target="../media/image22.png"/><Relationship Id="rId74" Type="http://schemas.openxmlformats.org/officeDocument/2006/relationships/image" Target="../media/image30.png"/><Relationship Id="rId5" Type="http://schemas.openxmlformats.org/officeDocument/2006/relationships/hyperlink" Target="http://epa.gov/nrmrl/pubs/625r92013/625r92013.htm" TargetMode="External"/><Relationship Id="rId15" Type="http://schemas.openxmlformats.org/officeDocument/2006/relationships/hyperlink" Target="http://ciceet.unh.edu/news/releases/spring08_progress_reports/pdf/vallino.pdf" TargetMode="External"/><Relationship Id="rId23" Type="http://schemas.openxmlformats.org/officeDocument/2006/relationships/hyperlink" Target="http://www.ecovita.net/" TargetMode="External"/><Relationship Id="rId28" Type="http://schemas.openxmlformats.org/officeDocument/2006/relationships/hyperlink" Target="http://toddecological.com/clients/PDFs/100623.casestudy.southburlington.pdf" TargetMode="External"/><Relationship Id="rId36" Type="http://schemas.openxmlformats.org/officeDocument/2006/relationships/hyperlink" Target="http://link.springer.com/article/10.1007/s13157-013-0444-7" TargetMode="External"/><Relationship Id="rId49" Type="http://schemas.openxmlformats.org/officeDocument/2006/relationships/image" Target="../media/image5.png"/><Relationship Id="rId57" Type="http://schemas.openxmlformats.org/officeDocument/2006/relationships/image" Target="../media/image13.png"/><Relationship Id="rId61" Type="http://schemas.openxmlformats.org/officeDocument/2006/relationships/image" Target="../media/image17.png"/><Relationship Id="rId10" Type="http://schemas.openxmlformats.org/officeDocument/2006/relationships/hyperlink" Target="http://www.mass.gov/envir/smart_growth_toolkit/pages/mod-tdr.html" TargetMode="External"/><Relationship Id="rId19" Type="http://schemas.openxmlformats.org/officeDocument/2006/relationships/hyperlink" Target="http://cfpub.epa.gov/npdes/stormwater/menuofbmps/index.cfm?action=browse&amp;Rbutton=detail&amp;bmp=99" TargetMode="External"/><Relationship Id="rId31" Type="http://schemas.openxmlformats.org/officeDocument/2006/relationships/hyperlink" Target="http://link.springer.com/article/10.1007/s11252-012-0266-z" TargetMode="External"/><Relationship Id="rId44" Type="http://schemas.openxmlformats.org/officeDocument/2006/relationships/hyperlink" Target="http://www.pleasantbay.org/wp-content/uploads/101216_FinalReport_10002.pdf" TargetMode="External"/><Relationship Id="rId52" Type="http://schemas.openxmlformats.org/officeDocument/2006/relationships/image" Target="../media/image8.png"/><Relationship Id="rId60" Type="http://schemas.openxmlformats.org/officeDocument/2006/relationships/image" Target="../media/image16.png"/><Relationship Id="rId65" Type="http://schemas.openxmlformats.org/officeDocument/2006/relationships/image" Target="../media/image21.png"/><Relationship Id="rId73" Type="http://schemas.openxmlformats.org/officeDocument/2006/relationships/image" Target="../media/image29.png"/><Relationship Id="rId4" Type="http://schemas.openxmlformats.org/officeDocument/2006/relationships/hyperlink" Target="http://water.epa.gov/scitech/wastetech/biosolids/503pe_index.cfm" TargetMode="External"/><Relationship Id="rId9" Type="http://schemas.openxmlformats.org/officeDocument/2006/relationships/hyperlink" Target="http://www.floatingislandswest.com/" TargetMode="External"/><Relationship Id="rId14" Type="http://schemas.openxmlformats.org/officeDocument/2006/relationships/hyperlink" Target="http://sand-creek.com/" TargetMode="External"/><Relationship Id="rId22" Type="http://schemas.openxmlformats.org/officeDocument/2006/relationships/hyperlink" Target="http://www.ecosanres.org/pdf_files/Urine_Diversion_2006-1.pdf" TargetMode="External"/><Relationship Id="rId27" Type="http://schemas.openxmlformats.org/officeDocument/2006/relationships/hyperlink" Target="http://water.epa.gov/scitech/wastetech/upload/2002_12_13_mtb_living_machine.pdf" TargetMode="External"/><Relationship Id="rId30" Type="http://schemas.openxmlformats.org/officeDocument/2006/relationships/hyperlink" Target="http://www.ecosanres.org/pdf_files/ESR-factsheet-13.pdf" TargetMode="External"/><Relationship Id="rId35" Type="http://schemas.openxmlformats.org/officeDocument/2006/relationships/hyperlink" Target="http://link.springer.com/article/10.1023/B:WAFO.0000028385.63075.51" TargetMode="External"/><Relationship Id="rId43" Type="http://schemas.openxmlformats.org/officeDocument/2006/relationships/hyperlink" Target="http://www.int-res.com/abstracts/meps/v480/feature/" TargetMode="External"/><Relationship Id="rId48" Type="http://schemas.openxmlformats.org/officeDocument/2006/relationships/image" Target="../media/image4.png"/><Relationship Id="rId56" Type="http://schemas.openxmlformats.org/officeDocument/2006/relationships/image" Target="../media/image12.png"/><Relationship Id="rId64" Type="http://schemas.openxmlformats.org/officeDocument/2006/relationships/image" Target="../media/image20.png"/><Relationship Id="rId69" Type="http://schemas.openxmlformats.org/officeDocument/2006/relationships/image" Target="../media/image25.png"/><Relationship Id="rId77" Type="http://schemas.openxmlformats.org/officeDocument/2006/relationships/image" Target="../media/image33.png"/><Relationship Id="rId8" Type="http://schemas.openxmlformats.org/officeDocument/2006/relationships/hyperlink" Target="http://www.ccwpc.org/index.php/component/content/article/36-wastewater-reports/78-comparison-of-costs-for-wastewater-management-systems-applicable-to-cape-cod" TargetMode="External"/><Relationship Id="rId51" Type="http://schemas.openxmlformats.org/officeDocument/2006/relationships/image" Target="../media/image7.png"/><Relationship Id="rId72" Type="http://schemas.openxmlformats.org/officeDocument/2006/relationships/image" Target="../media/image28.png"/><Relationship Id="rId3" Type="http://schemas.openxmlformats.org/officeDocument/2006/relationships/hyperlink" Target="http://water.epa.gov/scitech/wastetech/mtbfact.cfm" TargetMode="External"/><Relationship Id="rId12" Type="http://schemas.openxmlformats.org/officeDocument/2006/relationships/hyperlink" Target="http://richearthinstitute.org/?page_id=739" TargetMode="External"/><Relationship Id="rId17" Type="http://schemas.openxmlformats.org/officeDocument/2006/relationships/hyperlink" Target="http://www.worldsweeper.com/Street/Studies/CWPStudy/CBStreetSweeping.pdf" TargetMode="External"/><Relationship Id="rId25" Type="http://schemas.openxmlformats.org/officeDocument/2006/relationships/hyperlink" Target="http://www.crwa.org/projects/bmpfactsheets/crwa_gravelwetland.pdf" TargetMode="External"/><Relationship Id="rId33" Type="http://schemas.openxmlformats.org/officeDocument/2006/relationships/hyperlink" Target="http://www.epa.gov/tio/download/remed/phytotechnologies-factsheet.pdf" TargetMode="External"/><Relationship Id="rId38" Type="http://schemas.openxmlformats.org/officeDocument/2006/relationships/hyperlink" Target="http://www.brownandcaldwell.com/Tech_Papers/700.pdf" TargetMode="External"/><Relationship Id="rId46" Type="http://schemas.openxmlformats.org/officeDocument/2006/relationships/image" Target="../media/image2.png"/><Relationship Id="rId59" Type="http://schemas.openxmlformats.org/officeDocument/2006/relationships/image" Target="../media/image15.png"/><Relationship Id="rId67" Type="http://schemas.openxmlformats.org/officeDocument/2006/relationships/image" Target="../media/image23.png"/><Relationship Id="rId20" Type="http://schemas.openxmlformats.org/officeDocument/2006/relationships/hyperlink" Target="http://www.cabmphandbooks.com/Documents/Municipal/SC-70.pdf" TargetMode="External"/><Relationship Id="rId41" Type="http://schemas.openxmlformats.org/officeDocument/2006/relationships/hyperlink" Target="http://www.auburn.edu/~wcw0003/products/publications/carmichael-rh-w-walton--h.html" TargetMode="External"/><Relationship Id="rId54" Type="http://schemas.openxmlformats.org/officeDocument/2006/relationships/image" Target="../media/image10.png"/><Relationship Id="rId62" Type="http://schemas.openxmlformats.org/officeDocument/2006/relationships/image" Target="../media/image18.png"/><Relationship Id="rId70" Type="http://schemas.openxmlformats.org/officeDocument/2006/relationships/image" Target="../media/image26.png"/><Relationship Id="rId75" Type="http://schemas.openxmlformats.org/officeDocument/2006/relationships/image" Target="../media/image31.png"/><Relationship Id="rId1" Type="http://schemas.openxmlformats.org/officeDocument/2006/relationships/hyperlink" Target="http://www.unh.edu/unhsc/sites/unh.edu.unhsc/files/docs/UNHSC.2012Report.10.10.12.pdf" TargetMode="External"/><Relationship Id="rId6" Type="http://schemas.openxmlformats.org/officeDocument/2006/relationships/hyperlink" Target="https://www.federalregister.gov/articles/2011/03/21/2011-4495/standards-of-performance-for-new-stationary-sources-and-emission-guidelines-for-existing-sources" TargetMode="External"/></Relationships>
</file>

<file path=xl/drawings/drawing1.xml><?xml version="1.0" encoding="utf-8"?>
<xdr:wsDr xmlns:xdr="http://schemas.openxmlformats.org/drawingml/2006/spreadsheetDrawing" xmlns:a="http://schemas.openxmlformats.org/drawingml/2006/main">
  <xdr:twoCellAnchor>
    <xdr:from>
      <xdr:col>121</xdr:col>
      <xdr:colOff>0</xdr:colOff>
      <xdr:row>22</xdr:row>
      <xdr:rowOff>444500</xdr:rowOff>
    </xdr:from>
    <xdr:to>
      <xdr:col>122</xdr:col>
      <xdr:colOff>0</xdr:colOff>
      <xdr:row>22</xdr:row>
      <xdr:rowOff>685800</xdr:rowOff>
    </xdr:to>
    <xdr:sp macro="" textlink="">
      <xdr:nvSpPr>
        <xdr:cNvPr id="27" name="TextBox 26">
          <a:hlinkClick xmlns:r="http://schemas.openxmlformats.org/officeDocument/2006/relationships" r:id="rId1"/>
          <a:extLst>
            <a:ext uri="{FF2B5EF4-FFF2-40B4-BE49-F238E27FC236}">
              <a16:creationId xmlns:a16="http://schemas.microsoft.com/office/drawing/2014/main" id="{00000000-0008-0000-0000-00001B000000}"/>
            </a:ext>
          </a:extLst>
        </xdr:cNvPr>
        <xdr:cNvSpPr txBox="1"/>
      </xdr:nvSpPr>
      <xdr:spPr>
        <a:xfrm>
          <a:off x="105765600" y="29578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http://www.unh.edu/unhsc/sites/unh.edu.unhsc/files/docs/UNHSC.2012Report.10.10.12.pdf</a:t>
          </a:r>
        </a:p>
      </xdr:txBody>
    </xdr:sp>
    <xdr:clientData/>
  </xdr:twoCellAnchor>
  <xdr:twoCellAnchor>
    <xdr:from>
      <xdr:col>121</xdr:col>
      <xdr:colOff>0</xdr:colOff>
      <xdr:row>22</xdr:row>
      <xdr:rowOff>114300</xdr:rowOff>
    </xdr:from>
    <xdr:to>
      <xdr:col>122</xdr:col>
      <xdr:colOff>0</xdr:colOff>
      <xdr:row>22</xdr:row>
      <xdr:rowOff>355600</xdr:rowOff>
    </xdr:to>
    <xdr:sp macro="" textlink="">
      <xdr:nvSpPr>
        <xdr:cNvPr id="63" name="TextBox 62">
          <a:hlinkClick xmlns:r="http://schemas.openxmlformats.org/officeDocument/2006/relationships" r:id="rId1"/>
          <a:extLst>
            <a:ext uri="{FF2B5EF4-FFF2-40B4-BE49-F238E27FC236}">
              <a16:creationId xmlns:a16="http://schemas.microsoft.com/office/drawing/2014/main" id="{00000000-0008-0000-0000-00003F000000}"/>
            </a:ext>
          </a:extLst>
        </xdr:cNvPr>
        <xdr:cNvSpPr txBox="1"/>
      </xdr:nvSpPr>
      <xdr:spPr>
        <a:xfrm>
          <a:off x="105765600" y="29248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http://www.unh.edu/unhsc/sites/unh.edu.unhsc/files/asce_jee_maintenance.pdf </a:t>
          </a:r>
        </a:p>
      </xdr:txBody>
    </xdr:sp>
    <xdr:clientData/>
  </xdr:twoCellAnchor>
  <xdr:twoCellAnchor>
    <xdr:from>
      <xdr:col>121</xdr:col>
      <xdr:colOff>0</xdr:colOff>
      <xdr:row>14</xdr:row>
      <xdr:rowOff>273050</xdr:rowOff>
    </xdr:from>
    <xdr:to>
      <xdr:col>122</xdr:col>
      <xdr:colOff>0</xdr:colOff>
      <xdr:row>14</xdr:row>
      <xdr:rowOff>514350</xdr:rowOff>
    </xdr:to>
    <xdr:sp macro="" textlink="">
      <xdr:nvSpPr>
        <xdr:cNvPr id="73" name="TextBox 72">
          <a:hlinkClick xmlns:r="http://schemas.openxmlformats.org/officeDocument/2006/relationships" r:id="rId2"/>
          <a:extLst>
            <a:ext uri="{FF2B5EF4-FFF2-40B4-BE49-F238E27FC236}">
              <a16:creationId xmlns:a16="http://schemas.microsoft.com/office/drawing/2014/main" id="{00000000-0008-0000-0000-000049000000}"/>
            </a:ext>
          </a:extLst>
        </xdr:cNvPr>
        <xdr:cNvSpPr txBox="1"/>
      </xdr:nvSpPr>
      <xdr:spPr>
        <a:xfrm>
          <a:off x="111477425" y="237521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0</xdr:colOff>
      <xdr:row>98</xdr:row>
      <xdr:rowOff>596900</xdr:rowOff>
    </xdr:from>
    <xdr:to>
      <xdr:col>122</xdr:col>
      <xdr:colOff>0</xdr:colOff>
      <xdr:row>98</xdr:row>
      <xdr:rowOff>838200</xdr:rowOff>
    </xdr:to>
    <xdr:sp macro="" textlink="">
      <xdr:nvSpPr>
        <xdr:cNvPr id="80" name="TextBox 79">
          <a:hlinkClick xmlns:r="http://schemas.openxmlformats.org/officeDocument/2006/relationships" r:id="rId3"/>
          <a:extLst>
            <a:ext uri="{FF2B5EF4-FFF2-40B4-BE49-F238E27FC236}">
              <a16:creationId xmlns:a16="http://schemas.microsoft.com/office/drawing/2014/main" id="{00000000-0008-0000-0000-000050000000}"/>
            </a:ext>
          </a:extLst>
        </xdr:cNvPr>
        <xdr:cNvSpPr txBox="1"/>
      </xdr:nvSpPr>
      <xdr:spPr>
        <a:xfrm>
          <a:off x="105752900" y="1873377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http://water.epa.gov/scitech/wastetech/mtbfact.cfm </a:t>
          </a:r>
        </a:p>
      </xdr:txBody>
    </xdr:sp>
    <xdr:clientData/>
  </xdr:twoCellAnchor>
  <xdr:twoCellAnchor>
    <xdr:from>
      <xdr:col>121</xdr:col>
      <xdr:colOff>0</xdr:colOff>
      <xdr:row>98</xdr:row>
      <xdr:rowOff>266700</xdr:rowOff>
    </xdr:from>
    <xdr:to>
      <xdr:col>122</xdr:col>
      <xdr:colOff>0</xdr:colOff>
      <xdr:row>98</xdr:row>
      <xdr:rowOff>508000</xdr:rowOff>
    </xdr:to>
    <xdr:sp macro="" textlink="">
      <xdr:nvSpPr>
        <xdr:cNvPr id="81" name="TextBox 80">
          <a:hlinkClick xmlns:r="http://schemas.openxmlformats.org/officeDocument/2006/relationships" r:id="rId4"/>
          <a:extLst>
            <a:ext uri="{FF2B5EF4-FFF2-40B4-BE49-F238E27FC236}">
              <a16:creationId xmlns:a16="http://schemas.microsoft.com/office/drawing/2014/main" id="{00000000-0008-0000-0000-000051000000}"/>
            </a:ext>
          </a:extLst>
        </xdr:cNvPr>
        <xdr:cNvSpPr txBox="1"/>
      </xdr:nvSpPr>
      <xdr:spPr>
        <a:xfrm>
          <a:off x="105740200" y="187007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http://water.epa.gov/scitech/wastetech/biosolids/503pe_index.cfm</a:t>
          </a:r>
        </a:p>
      </xdr:txBody>
    </xdr:sp>
    <xdr:clientData/>
  </xdr:twoCellAnchor>
  <xdr:twoCellAnchor>
    <xdr:from>
      <xdr:col>121</xdr:col>
      <xdr:colOff>0</xdr:colOff>
      <xdr:row>97</xdr:row>
      <xdr:rowOff>269875</xdr:rowOff>
    </xdr:from>
    <xdr:to>
      <xdr:col>122</xdr:col>
      <xdr:colOff>0</xdr:colOff>
      <xdr:row>97</xdr:row>
      <xdr:rowOff>511175</xdr:rowOff>
    </xdr:to>
    <xdr:sp macro="" textlink="">
      <xdr:nvSpPr>
        <xdr:cNvPr id="82" name="TextBox 81">
          <a:hlinkClick xmlns:r="http://schemas.openxmlformats.org/officeDocument/2006/relationships" r:id="rId4"/>
          <a:extLst>
            <a:ext uri="{FF2B5EF4-FFF2-40B4-BE49-F238E27FC236}">
              <a16:creationId xmlns:a16="http://schemas.microsoft.com/office/drawing/2014/main" id="{00000000-0008-0000-0000-000052000000}"/>
            </a:ext>
          </a:extLst>
        </xdr:cNvPr>
        <xdr:cNvSpPr txBox="1"/>
      </xdr:nvSpPr>
      <xdr:spPr>
        <a:xfrm>
          <a:off x="111474250" y="1816417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http://water.epa.gov/scitech/wastetech/biosolids/503pe_index.cfm</a:t>
          </a:r>
        </a:p>
      </xdr:txBody>
    </xdr:sp>
    <xdr:clientData/>
  </xdr:twoCellAnchor>
  <xdr:twoCellAnchor>
    <xdr:from>
      <xdr:col>121</xdr:col>
      <xdr:colOff>0</xdr:colOff>
      <xdr:row>95</xdr:row>
      <xdr:rowOff>95250</xdr:rowOff>
    </xdr:from>
    <xdr:to>
      <xdr:col>122</xdr:col>
      <xdr:colOff>0</xdr:colOff>
      <xdr:row>95</xdr:row>
      <xdr:rowOff>336550</xdr:rowOff>
    </xdr:to>
    <xdr:sp macro="" textlink="">
      <xdr:nvSpPr>
        <xdr:cNvPr id="87" name="TextBox 86">
          <a:hlinkClick xmlns:r="http://schemas.openxmlformats.org/officeDocument/2006/relationships" r:id="rId4"/>
          <a:extLst>
            <a:ext uri="{FF2B5EF4-FFF2-40B4-BE49-F238E27FC236}">
              <a16:creationId xmlns:a16="http://schemas.microsoft.com/office/drawing/2014/main" id="{00000000-0008-0000-0000-000057000000}"/>
            </a:ext>
          </a:extLst>
        </xdr:cNvPr>
        <xdr:cNvSpPr txBox="1"/>
      </xdr:nvSpPr>
      <xdr:spPr>
        <a:xfrm>
          <a:off x="111474250" y="1738947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http://water.epa.gov/scitech/wastetech/biosolids/503pe_index.cfm</a:t>
          </a:r>
        </a:p>
      </xdr:txBody>
    </xdr:sp>
    <xdr:clientData/>
  </xdr:twoCellAnchor>
  <xdr:twoCellAnchor>
    <xdr:from>
      <xdr:col>121</xdr:col>
      <xdr:colOff>0</xdr:colOff>
      <xdr:row>97</xdr:row>
      <xdr:rowOff>571500</xdr:rowOff>
    </xdr:from>
    <xdr:to>
      <xdr:col>122</xdr:col>
      <xdr:colOff>0</xdr:colOff>
      <xdr:row>97</xdr:row>
      <xdr:rowOff>812800</xdr:rowOff>
    </xdr:to>
    <xdr:sp macro="" textlink="">
      <xdr:nvSpPr>
        <xdr:cNvPr id="88" name="TextBox 87">
          <a:hlinkClick xmlns:r="http://schemas.openxmlformats.org/officeDocument/2006/relationships" r:id="rId5"/>
          <a:extLst>
            <a:ext uri="{FF2B5EF4-FFF2-40B4-BE49-F238E27FC236}">
              <a16:creationId xmlns:a16="http://schemas.microsoft.com/office/drawing/2014/main" id="{00000000-0008-0000-0000-000058000000}"/>
            </a:ext>
          </a:extLst>
        </xdr:cNvPr>
        <xdr:cNvSpPr txBox="1"/>
      </xdr:nvSpPr>
      <xdr:spPr>
        <a:xfrm>
          <a:off x="111426625" y="1819433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http://epa.gov/nrmrl/pubs/625r92013/625r92013.htm</a:t>
          </a:r>
        </a:p>
      </xdr:txBody>
    </xdr:sp>
    <xdr:clientData/>
  </xdr:twoCellAnchor>
  <xdr:twoCellAnchor>
    <xdr:from>
      <xdr:col>121</xdr:col>
      <xdr:colOff>0</xdr:colOff>
      <xdr:row>93</xdr:row>
      <xdr:rowOff>269875</xdr:rowOff>
    </xdr:from>
    <xdr:to>
      <xdr:col>122</xdr:col>
      <xdr:colOff>0</xdr:colOff>
      <xdr:row>93</xdr:row>
      <xdr:rowOff>511175</xdr:rowOff>
    </xdr:to>
    <xdr:sp macro="" textlink="">
      <xdr:nvSpPr>
        <xdr:cNvPr id="89" name="TextBox 88">
          <a:hlinkClick xmlns:r="http://schemas.openxmlformats.org/officeDocument/2006/relationships" r:id="rId4"/>
          <a:extLst>
            <a:ext uri="{FF2B5EF4-FFF2-40B4-BE49-F238E27FC236}">
              <a16:creationId xmlns:a16="http://schemas.microsoft.com/office/drawing/2014/main" id="{00000000-0008-0000-0000-000059000000}"/>
            </a:ext>
          </a:extLst>
        </xdr:cNvPr>
        <xdr:cNvSpPr txBox="1"/>
      </xdr:nvSpPr>
      <xdr:spPr>
        <a:xfrm>
          <a:off x="111474250" y="1678940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http://water.epa.gov/scitech/wastetech/biosolids/503pe_index.cfm</a:t>
          </a:r>
        </a:p>
      </xdr:txBody>
    </xdr:sp>
    <xdr:clientData/>
  </xdr:twoCellAnchor>
  <xdr:twoCellAnchor>
    <xdr:from>
      <xdr:col>121</xdr:col>
      <xdr:colOff>0</xdr:colOff>
      <xdr:row>93</xdr:row>
      <xdr:rowOff>1073150</xdr:rowOff>
    </xdr:from>
    <xdr:to>
      <xdr:col>122</xdr:col>
      <xdr:colOff>0</xdr:colOff>
      <xdr:row>93</xdr:row>
      <xdr:rowOff>1314450</xdr:rowOff>
    </xdr:to>
    <xdr:sp macro="" textlink="">
      <xdr:nvSpPr>
        <xdr:cNvPr id="90" name="TextBox 89">
          <a:hlinkClick xmlns:r="http://schemas.openxmlformats.org/officeDocument/2006/relationships" r:id="rId6"/>
          <a:extLst>
            <a:ext uri="{FF2B5EF4-FFF2-40B4-BE49-F238E27FC236}">
              <a16:creationId xmlns:a16="http://schemas.microsoft.com/office/drawing/2014/main" id="{00000000-0008-0000-0000-00005A000000}"/>
            </a:ext>
          </a:extLst>
        </xdr:cNvPr>
        <xdr:cNvSpPr txBox="1"/>
      </xdr:nvSpPr>
      <xdr:spPr>
        <a:xfrm>
          <a:off x="111515525" y="1686972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https://www.federalregister.gov/articles/2011/03/21/2011-4495/standards-of-performance-for-new-stationary-sources-and-emission-guidelines-for-existing-sources</a:t>
          </a:r>
        </a:p>
      </xdr:txBody>
    </xdr:sp>
    <xdr:clientData/>
  </xdr:twoCellAnchor>
  <xdr:twoCellAnchor>
    <xdr:from>
      <xdr:col>121</xdr:col>
      <xdr:colOff>0</xdr:colOff>
      <xdr:row>93</xdr:row>
      <xdr:rowOff>749300</xdr:rowOff>
    </xdr:from>
    <xdr:to>
      <xdr:col>122</xdr:col>
      <xdr:colOff>0</xdr:colOff>
      <xdr:row>93</xdr:row>
      <xdr:rowOff>990600</xdr:rowOff>
    </xdr:to>
    <xdr:sp macro="" textlink="">
      <xdr:nvSpPr>
        <xdr:cNvPr id="91" name="TextBox 90">
          <a:hlinkClick xmlns:r="http://schemas.openxmlformats.org/officeDocument/2006/relationships" r:id="rId3"/>
          <a:extLst>
            <a:ext uri="{FF2B5EF4-FFF2-40B4-BE49-F238E27FC236}">
              <a16:creationId xmlns:a16="http://schemas.microsoft.com/office/drawing/2014/main" id="{00000000-0008-0000-0000-00005B000000}"/>
            </a:ext>
          </a:extLst>
        </xdr:cNvPr>
        <xdr:cNvSpPr txBox="1"/>
      </xdr:nvSpPr>
      <xdr:spPr>
        <a:xfrm>
          <a:off x="111525050" y="1683734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http://water.epa.gov/scitech/wastetech/mtbfact.cfm</a:t>
          </a:r>
        </a:p>
      </xdr:txBody>
    </xdr:sp>
    <xdr:clientData/>
  </xdr:twoCellAnchor>
  <xdr:twoCellAnchor>
    <xdr:from>
      <xdr:col>121</xdr:col>
      <xdr:colOff>0</xdr:colOff>
      <xdr:row>92</xdr:row>
      <xdr:rowOff>742950</xdr:rowOff>
    </xdr:from>
    <xdr:to>
      <xdr:col>122</xdr:col>
      <xdr:colOff>0</xdr:colOff>
      <xdr:row>92</xdr:row>
      <xdr:rowOff>984250</xdr:rowOff>
    </xdr:to>
    <xdr:sp macro="" textlink="">
      <xdr:nvSpPr>
        <xdr:cNvPr id="94" name="TextBox 93">
          <a:hlinkClick xmlns:r="http://schemas.openxmlformats.org/officeDocument/2006/relationships" r:id="rId3"/>
          <a:extLst>
            <a:ext uri="{FF2B5EF4-FFF2-40B4-BE49-F238E27FC236}">
              <a16:creationId xmlns:a16="http://schemas.microsoft.com/office/drawing/2014/main" id="{00000000-0008-0000-0000-00005E000000}"/>
            </a:ext>
          </a:extLst>
        </xdr:cNvPr>
        <xdr:cNvSpPr txBox="1"/>
      </xdr:nvSpPr>
      <xdr:spPr>
        <a:xfrm>
          <a:off x="111486950" y="1631600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http://water.epa.gov/scitech/wastetech/mtbfact.cfm</a:t>
          </a:r>
        </a:p>
      </xdr:txBody>
    </xdr:sp>
    <xdr:clientData/>
  </xdr:twoCellAnchor>
  <xdr:twoCellAnchor>
    <xdr:from>
      <xdr:col>121</xdr:col>
      <xdr:colOff>0</xdr:colOff>
      <xdr:row>76</xdr:row>
      <xdr:rowOff>95250</xdr:rowOff>
    </xdr:from>
    <xdr:to>
      <xdr:col>122</xdr:col>
      <xdr:colOff>0</xdr:colOff>
      <xdr:row>76</xdr:row>
      <xdr:rowOff>336550</xdr:rowOff>
    </xdr:to>
    <xdr:sp macro="" textlink="">
      <xdr:nvSpPr>
        <xdr:cNvPr id="95" name="TextBox 94">
          <a:hlinkClick xmlns:r="http://schemas.openxmlformats.org/officeDocument/2006/relationships" r:id="rId7"/>
          <a:extLst>
            <a:ext uri="{FF2B5EF4-FFF2-40B4-BE49-F238E27FC236}">
              <a16:creationId xmlns:a16="http://schemas.microsoft.com/office/drawing/2014/main" id="{00000000-0008-0000-0000-00005F000000}"/>
            </a:ext>
          </a:extLst>
        </xdr:cNvPr>
        <xdr:cNvSpPr txBox="1"/>
      </xdr:nvSpPr>
      <xdr:spPr>
        <a:xfrm>
          <a:off x="111474250" y="1475581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http://water.epa.gov/type/groundwater/uic/basicinformation.cfm</a:t>
          </a:r>
        </a:p>
      </xdr:txBody>
    </xdr:sp>
    <xdr:clientData/>
  </xdr:twoCellAnchor>
  <xdr:twoCellAnchor>
    <xdr:from>
      <xdr:col>121</xdr:col>
      <xdr:colOff>0</xdr:colOff>
      <xdr:row>66</xdr:row>
      <xdr:rowOff>111125</xdr:rowOff>
    </xdr:from>
    <xdr:to>
      <xdr:col>122</xdr:col>
      <xdr:colOff>0</xdr:colOff>
      <xdr:row>66</xdr:row>
      <xdr:rowOff>352425</xdr:rowOff>
    </xdr:to>
    <xdr:sp macro="" textlink="">
      <xdr:nvSpPr>
        <xdr:cNvPr id="96" name="TextBox 95">
          <a:hlinkClick xmlns:r="http://schemas.openxmlformats.org/officeDocument/2006/relationships" r:id="rId8"/>
          <a:extLst>
            <a:ext uri="{FF2B5EF4-FFF2-40B4-BE49-F238E27FC236}">
              <a16:creationId xmlns:a16="http://schemas.microsoft.com/office/drawing/2014/main" id="{00000000-0008-0000-0000-000060000000}"/>
            </a:ext>
          </a:extLst>
        </xdr:cNvPr>
        <xdr:cNvSpPr txBox="1"/>
      </xdr:nvSpPr>
      <xdr:spPr>
        <a:xfrm>
          <a:off x="111458375" y="135445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65</xdr:row>
      <xdr:rowOff>111125</xdr:rowOff>
    </xdr:from>
    <xdr:to>
      <xdr:col>122</xdr:col>
      <xdr:colOff>0</xdr:colOff>
      <xdr:row>65</xdr:row>
      <xdr:rowOff>352425</xdr:rowOff>
    </xdr:to>
    <xdr:sp macro="" textlink="">
      <xdr:nvSpPr>
        <xdr:cNvPr id="97" name="TextBox 96">
          <a:hlinkClick xmlns:r="http://schemas.openxmlformats.org/officeDocument/2006/relationships" r:id="rId8"/>
          <a:extLst>
            <a:ext uri="{FF2B5EF4-FFF2-40B4-BE49-F238E27FC236}">
              <a16:creationId xmlns:a16="http://schemas.microsoft.com/office/drawing/2014/main" id="{00000000-0008-0000-0000-000061000000}"/>
            </a:ext>
          </a:extLst>
        </xdr:cNvPr>
        <xdr:cNvSpPr txBox="1"/>
      </xdr:nvSpPr>
      <xdr:spPr>
        <a:xfrm>
          <a:off x="111458375" y="133921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64</xdr:row>
      <xdr:rowOff>111125</xdr:rowOff>
    </xdr:from>
    <xdr:to>
      <xdr:col>122</xdr:col>
      <xdr:colOff>0</xdr:colOff>
      <xdr:row>64</xdr:row>
      <xdr:rowOff>352425</xdr:rowOff>
    </xdr:to>
    <xdr:sp macro="" textlink="">
      <xdr:nvSpPr>
        <xdr:cNvPr id="98" name="TextBox 97">
          <a:hlinkClick xmlns:r="http://schemas.openxmlformats.org/officeDocument/2006/relationships" r:id="rId8"/>
          <a:extLst>
            <a:ext uri="{FF2B5EF4-FFF2-40B4-BE49-F238E27FC236}">
              <a16:creationId xmlns:a16="http://schemas.microsoft.com/office/drawing/2014/main" id="{00000000-0008-0000-0000-000062000000}"/>
            </a:ext>
          </a:extLst>
        </xdr:cNvPr>
        <xdr:cNvSpPr txBox="1"/>
      </xdr:nvSpPr>
      <xdr:spPr>
        <a:xfrm>
          <a:off x="111458375" y="135445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62</xdr:row>
      <xdr:rowOff>111125</xdr:rowOff>
    </xdr:from>
    <xdr:to>
      <xdr:col>122</xdr:col>
      <xdr:colOff>0</xdr:colOff>
      <xdr:row>62</xdr:row>
      <xdr:rowOff>352425</xdr:rowOff>
    </xdr:to>
    <xdr:sp macro="" textlink="">
      <xdr:nvSpPr>
        <xdr:cNvPr id="99" name="TextBox 98">
          <a:hlinkClick xmlns:r="http://schemas.openxmlformats.org/officeDocument/2006/relationships" r:id="rId8"/>
          <a:extLst>
            <a:ext uri="{FF2B5EF4-FFF2-40B4-BE49-F238E27FC236}">
              <a16:creationId xmlns:a16="http://schemas.microsoft.com/office/drawing/2014/main" id="{00000000-0008-0000-0000-000063000000}"/>
            </a:ext>
          </a:extLst>
        </xdr:cNvPr>
        <xdr:cNvSpPr txBox="1"/>
      </xdr:nvSpPr>
      <xdr:spPr>
        <a:xfrm>
          <a:off x="111458375" y="128968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53</xdr:row>
      <xdr:rowOff>111125</xdr:rowOff>
    </xdr:from>
    <xdr:to>
      <xdr:col>122</xdr:col>
      <xdr:colOff>0</xdr:colOff>
      <xdr:row>53</xdr:row>
      <xdr:rowOff>352425</xdr:rowOff>
    </xdr:to>
    <xdr:sp macro="" textlink="">
      <xdr:nvSpPr>
        <xdr:cNvPr id="101" name="TextBox 100">
          <a:hlinkClick xmlns:r="http://schemas.openxmlformats.org/officeDocument/2006/relationships" r:id="rId8"/>
          <a:extLst>
            <a:ext uri="{FF2B5EF4-FFF2-40B4-BE49-F238E27FC236}">
              <a16:creationId xmlns:a16="http://schemas.microsoft.com/office/drawing/2014/main" id="{00000000-0008-0000-0000-000065000000}"/>
            </a:ext>
          </a:extLst>
        </xdr:cNvPr>
        <xdr:cNvSpPr txBox="1"/>
      </xdr:nvSpPr>
      <xdr:spPr>
        <a:xfrm>
          <a:off x="111458375" y="135445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54</xdr:row>
      <xdr:rowOff>111125</xdr:rowOff>
    </xdr:from>
    <xdr:to>
      <xdr:col>122</xdr:col>
      <xdr:colOff>0</xdr:colOff>
      <xdr:row>54</xdr:row>
      <xdr:rowOff>352425</xdr:rowOff>
    </xdr:to>
    <xdr:sp macro="" textlink="">
      <xdr:nvSpPr>
        <xdr:cNvPr id="102" name="TextBox 101">
          <a:hlinkClick xmlns:r="http://schemas.openxmlformats.org/officeDocument/2006/relationships" r:id="rId8"/>
          <a:extLst>
            <a:ext uri="{FF2B5EF4-FFF2-40B4-BE49-F238E27FC236}">
              <a16:creationId xmlns:a16="http://schemas.microsoft.com/office/drawing/2014/main" id="{00000000-0008-0000-0000-000066000000}"/>
            </a:ext>
          </a:extLst>
        </xdr:cNvPr>
        <xdr:cNvSpPr txBox="1"/>
      </xdr:nvSpPr>
      <xdr:spPr>
        <a:xfrm>
          <a:off x="111458375" y="135445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61</xdr:row>
      <xdr:rowOff>114300</xdr:rowOff>
    </xdr:from>
    <xdr:to>
      <xdr:col>122</xdr:col>
      <xdr:colOff>0</xdr:colOff>
      <xdr:row>61</xdr:row>
      <xdr:rowOff>355600</xdr:rowOff>
    </xdr:to>
    <xdr:sp macro="" textlink="">
      <xdr:nvSpPr>
        <xdr:cNvPr id="104" name="TextBox 103">
          <a:hlinkClick xmlns:r="http://schemas.openxmlformats.org/officeDocument/2006/relationships" r:id="rId8"/>
          <a:extLst>
            <a:ext uri="{FF2B5EF4-FFF2-40B4-BE49-F238E27FC236}">
              <a16:creationId xmlns:a16="http://schemas.microsoft.com/office/drawing/2014/main" id="{00000000-0008-0000-0000-000068000000}"/>
            </a:ext>
          </a:extLst>
        </xdr:cNvPr>
        <xdr:cNvSpPr txBox="1"/>
      </xdr:nvSpPr>
      <xdr:spPr>
        <a:xfrm>
          <a:off x="111445675" y="127241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59</xdr:row>
      <xdr:rowOff>117475</xdr:rowOff>
    </xdr:from>
    <xdr:to>
      <xdr:col>122</xdr:col>
      <xdr:colOff>0</xdr:colOff>
      <xdr:row>59</xdr:row>
      <xdr:rowOff>358775</xdr:rowOff>
    </xdr:to>
    <xdr:sp macro="" textlink="">
      <xdr:nvSpPr>
        <xdr:cNvPr id="106" name="TextBox 105">
          <a:hlinkClick xmlns:r="http://schemas.openxmlformats.org/officeDocument/2006/relationships" r:id="rId8"/>
          <a:extLst>
            <a:ext uri="{FF2B5EF4-FFF2-40B4-BE49-F238E27FC236}">
              <a16:creationId xmlns:a16="http://schemas.microsoft.com/office/drawing/2014/main" id="{00000000-0008-0000-0000-00006A000000}"/>
            </a:ext>
          </a:extLst>
        </xdr:cNvPr>
        <xdr:cNvSpPr txBox="1"/>
      </xdr:nvSpPr>
      <xdr:spPr>
        <a:xfrm>
          <a:off x="111464725" y="1224343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58</xdr:row>
      <xdr:rowOff>111125</xdr:rowOff>
    </xdr:from>
    <xdr:to>
      <xdr:col>122</xdr:col>
      <xdr:colOff>0</xdr:colOff>
      <xdr:row>58</xdr:row>
      <xdr:rowOff>352425</xdr:rowOff>
    </xdr:to>
    <xdr:sp macro="" textlink="">
      <xdr:nvSpPr>
        <xdr:cNvPr id="107" name="TextBox 106">
          <a:hlinkClick xmlns:r="http://schemas.openxmlformats.org/officeDocument/2006/relationships" r:id="rId8"/>
          <a:extLst>
            <a:ext uri="{FF2B5EF4-FFF2-40B4-BE49-F238E27FC236}">
              <a16:creationId xmlns:a16="http://schemas.microsoft.com/office/drawing/2014/main" id="{00000000-0008-0000-0000-00006B000000}"/>
            </a:ext>
          </a:extLst>
        </xdr:cNvPr>
        <xdr:cNvSpPr txBox="1"/>
      </xdr:nvSpPr>
      <xdr:spPr>
        <a:xfrm>
          <a:off x="111458375" y="1202690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56</xdr:row>
      <xdr:rowOff>114300</xdr:rowOff>
    </xdr:from>
    <xdr:to>
      <xdr:col>122</xdr:col>
      <xdr:colOff>0</xdr:colOff>
      <xdr:row>56</xdr:row>
      <xdr:rowOff>355600</xdr:rowOff>
    </xdr:to>
    <xdr:sp macro="" textlink="">
      <xdr:nvSpPr>
        <xdr:cNvPr id="108" name="TextBox 107">
          <a:hlinkClick xmlns:r="http://schemas.openxmlformats.org/officeDocument/2006/relationships" r:id="rId8"/>
          <a:extLst>
            <a:ext uri="{FF2B5EF4-FFF2-40B4-BE49-F238E27FC236}">
              <a16:creationId xmlns:a16="http://schemas.microsoft.com/office/drawing/2014/main" id="{00000000-0008-0000-0000-00006C000000}"/>
            </a:ext>
          </a:extLst>
        </xdr:cNvPr>
        <xdr:cNvSpPr txBox="1"/>
      </xdr:nvSpPr>
      <xdr:spPr>
        <a:xfrm>
          <a:off x="111461550" y="1147000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47</xdr:row>
      <xdr:rowOff>593725</xdr:rowOff>
    </xdr:from>
    <xdr:to>
      <xdr:col>122</xdr:col>
      <xdr:colOff>0</xdr:colOff>
      <xdr:row>47</xdr:row>
      <xdr:rowOff>835025</xdr:rowOff>
    </xdr:to>
    <xdr:sp macro="" textlink="">
      <xdr:nvSpPr>
        <xdr:cNvPr id="112" name="TextBox 111">
          <a:hlinkClick xmlns:r="http://schemas.openxmlformats.org/officeDocument/2006/relationships" r:id="rId9"/>
          <a:extLst>
            <a:ext uri="{FF2B5EF4-FFF2-40B4-BE49-F238E27FC236}">
              <a16:creationId xmlns:a16="http://schemas.microsoft.com/office/drawing/2014/main" id="{00000000-0008-0000-0000-000070000000}"/>
            </a:ext>
          </a:extLst>
        </xdr:cNvPr>
        <xdr:cNvSpPr txBox="1"/>
      </xdr:nvSpPr>
      <xdr:spPr>
        <a:xfrm>
          <a:off x="111512350" y="941927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http://www.floatingislandswest.com/</a:t>
          </a:r>
        </a:p>
      </xdr:txBody>
    </xdr:sp>
    <xdr:clientData/>
  </xdr:twoCellAnchor>
  <xdr:twoCellAnchor>
    <xdr:from>
      <xdr:col>121</xdr:col>
      <xdr:colOff>0</xdr:colOff>
      <xdr:row>47</xdr:row>
      <xdr:rowOff>269875</xdr:rowOff>
    </xdr:from>
    <xdr:to>
      <xdr:col>122</xdr:col>
      <xdr:colOff>0</xdr:colOff>
      <xdr:row>47</xdr:row>
      <xdr:rowOff>511175</xdr:rowOff>
    </xdr:to>
    <xdr:sp macro="" textlink="">
      <xdr:nvSpPr>
        <xdr:cNvPr id="113" name="TextBox 112">
          <a:hlinkClick xmlns:r="http://schemas.openxmlformats.org/officeDocument/2006/relationships" r:id="rId9"/>
          <a:extLst>
            <a:ext uri="{FF2B5EF4-FFF2-40B4-BE49-F238E27FC236}">
              <a16:creationId xmlns:a16="http://schemas.microsoft.com/office/drawing/2014/main" id="{00000000-0008-0000-0000-000071000000}"/>
            </a:ext>
          </a:extLst>
        </xdr:cNvPr>
        <xdr:cNvSpPr txBox="1"/>
      </xdr:nvSpPr>
      <xdr:spPr>
        <a:xfrm>
          <a:off x="111521875" y="938688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http://www.floatingislandinternational.com/</a:t>
          </a:r>
        </a:p>
      </xdr:txBody>
    </xdr:sp>
    <xdr:clientData/>
  </xdr:twoCellAnchor>
  <xdr:twoCellAnchor>
    <xdr:from>
      <xdr:col>121</xdr:col>
      <xdr:colOff>0</xdr:colOff>
      <xdr:row>43</xdr:row>
      <xdr:rowOff>263525</xdr:rowOff>
    </xdr:from>
    <xdr:to>
      <xdr:col>122</xdr:col>
      <xdr:colOff>0</xdr:colOff>
      <xdr:row>43</xdr:row>
      <xdr:rowOff>504825</xdr:rowOff>
    </xdr:to>
    <xdr:sp macro="" textlink="">
      <xdr:nvSpPr>
        <xdr:cNvPr id="114" name="TextBox 113">
          <a:hlinkClick xmlns:r="http://schemas.openxmlformats.org/officeDocument/2006/relationships" r:id="rId10"/>
          <a:extLst>
            <a:ext uri="{FF2B5EF4-FFF2-40B4-BE49-F238E27FC236}">
              <a16:creationId xmlns:a16="http://schemas.microsoft.com/office/drawing/2014/main" id="{00000000-0008-0000-0000-000072000000}"/>
            </a:ext>
          </a:extLst>
        </xdr:cNvPr>
        <xdr:cNvSpPr txBox="1"/>
      </xdr:nvSpPr>
      <xdr:spPr>
        <a:xfrm>
          <a:off x="111515525" y="839565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http://www.mass.gov/envir/smart_growth_toolkit/pages/mod-tdr.html</a:t>
          </a:r>
        </a:p>
      </xdr:txBody>
    </xdr:sp>
    <xdr:clientData/>
  </xdr:twoCellAnchor>
  <xdr:twoCellAnchor>
    <xdr:from>
      <xdr:col>121</xdr:col>
      <xdr:colOff>0</xdr:colOff>
      <xdr:row>38</xdr:row>
      <xdr:rowOff>276225</xdr:rowOff>
    </xdr:from>
    <xdr:to>
      <xdr:col>122</xdr:col>
      <xdr:colOff>0</xdr:colOff>
      <xdr:row>38</xdr:row>
      <xdr:rowOff>517525</xdr:rowOff>
    </xdr:to>
    <xdr:sp macro="" textlink="">
      <xdr:nvSpPr>
        <xdr:cNvPr id="117" name="TextBox 116">
          <a:hlinkClick xmlns:r="http://schemas.openxmlformats.org/officeDocument/2006/relationships" r:id="rId11"/>
          <a:extLst>
            <a:ext uri="{FF2B5EF4-FFF2-40B4-BE49-F238E27FC236}">
              <a16:creationId xmlns:a16="http://schemas.microsoft.com/office/drawing/2014/main" id="{00000000-0008-0000-0000-000075000000}"/>
            </a:ext>
          </a:extLst>
        </xdr:cNvPr>
        <xdr:cNvSpPr txBox="1"/>
      </xdr:nvSpPr>
      <xdr:spPr>
        <a:xfrm>
          <a:off x="111528225" y="670782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36</xdr:row>
      <xdr:rowOff>95250</xdr:rowOff>
    </xdr:from>
    <xdr:to>
      <xdr:col>122</xdr:col>
      <xdr:colOff>0</xdr:colOff>
      <xdr:row>36</xdr:row>
      <xdr:rowOff>336550</xdr:rowOff>
    </xdr:to>
    <xdr:sp macro="" textlink="">
      <xdr:nvSpPr>
        <xdr:cNvPr id="118" name="TextBox 117">
          <a:hlinkClick xmlns:r="http://schemas.openxmlformats.org/officeDocument/2006/relationships" r:id="rId12"/>
          <a:extLst>
            <a:ext uri="{FF2B5EF4-FFF2-40B4-BE49-F238E27FC236}">
              <a16:creationId xmlns:a16="http://schemas.microsoft.com/office/drawing/2014/main" id="{00000000-0008-0000-0000-000076000000}"/>
            </a:ext>
          </a:extLst>
        </xdr:cNvPr>
        <xdr:cNvSpPr txBox="1"/>
      </xdr:nvSpPr>
      <xdr:spPr>
        <a:xfrm>
          <a:off x="111490125" y="651033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http://richearthinstitute.org/?page_id=739</a:t>
          </a:r>
        </a:p>
      </xdr:txBody>
    </xdr:sp>
    <xdr:clientData/>
  </xdr:twoCellAnchor>
  <xdr:twoCellAnchor>
    <xdr:from>
      <xdr:col>121</xdr:col>
      <xdr:colOff>0</xdr:colOff>
      <xdr:row>35</xdr:row>
      <xdr:rowOff>723900</xdr:rowOff>
    </xdr:from>
    <xdr:to>
      <xdr:col>122</xdr:col>
      <xdr:colOff>0</xdr:colOff>
      <xdr:row>35</xdr:row>
      <xdr:rowOff>965200</xdr:rowOff>
    </xdr:to>
    <xdr:sp macro="" textlink="">
      <xdr:nvSpPr>
        <xdr:cNvPr id="119" name="TextBox 118">
          <a:hlinkClick xmlns:r="http://schemas.openxmlformats.org/officeDocument/2006/relationships" r:id="rId13"/>
          <a:extLst>
            <a:ext uri="{FF2B5EF4-FFF2-40B4-BE49-F238E27FC236}">
              <a16:creationId xmlns:a16="http://schemas.microsoft.com/office/drawing/2014/main" id="{00000000-0008-0000-0000-000077000000}"/>
            </a:ext>
          </a:extLst>
        </xdr:cNvPr>
        <xdr:cNvSpPr txBox="1"/>
      </xdr:nvSpPr>
      <xdr:spPr>
        <a:xfrm>
          <a:off x="111499650" y="633349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http://www.incinolet.com/</a:t>
          </a:r>
        </a:p>
      </xdr:txBody>
    </xdr:sp>
    <xdr:clientData/>
  </xdr:twoCellAnchor>
  <xdr:twoCellAnchor>
    <xdr:from>
      <xdr:col>121</xdr:col>
      <xdr:colOff>0</xdr:colOff>
      <xdr:row>27</xdr:row>
      <xdr:rowOff>92075</xdr:rowOff>
    </xdr:from>
    <xdr:to>
      <xdr:col>122</xdr:col>
      <xdr:colOff>0</xdr:colOff>
      <xdr:row>27</xdr:row>
      <xdr:rowOff>333375</xdr:rowOff>
    </xdr:to>
    <xdr:sp macro="" textlink="">
      <xdr:nvSpPr>
        <xdr:cNvPr id="121" name="TextBox 120">
          <a:hlinkClick xmlns:r="http://schemas.openxmlformats.org/officeDocument/2006/relationships" r:id="rId14"/>
          <a:extLst>
            <a:ext uri="{FF2B5EF4-FFF2-40B4-BE49-F238E27FC236}">
              <a16:creationId xmlns:a16="http://schemas.microsoft.com/office/drawing/2014/main" id="{00000000-0008-0000-0000-000079000000}"/>
            </a:ext>
          </a:extLst>
        </xdr:cNvPr>
        <xdr:cNvSpPr txBox="1"/>
      </xdr:nvSpPr>
      <xdr:spPr>
        <a:xfrm>
          <a:off x="111486950" y="444468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http://sand-creek.com/</a:t>
          </a:r>
        </a:p>
      </xdr:txBody>
    </xdr:sp>
    <xdr:clientData/>
  </xdr:twoCellAnchor>
  <xdr:twoCellAnchor>
    <xdr:from>
      <xdr:col>121</xdr:col>
      <xdr:colOff>0</xdr:colOff>
      <xdr:row>30</xdr:row>
      <xdr:rowOff>911225</xdr:rowOff>
    </xdr:from>
    <xdr:to>
      <xdr:col>122</xdr:col>
      <xdr:colOff>0</xdr:colOff>
      <xdr:row>30</xdr:row>
      <xdr:rowOff>1152525</xdr:rowOff>
    </xdr:to>
    <xdr:sp macro="" textlink="">
      <xdr:nvSpPr>
        <xdr:cNvPr id="122" name="TextBox 121">
          <a:hlinkClick xmlns:r="http://schemas.openxmlformats.org/officeDocument/2006/relationships" r:id="rId15"/>
          <a:extLst>
            <a:ext uri="{FF2B5EF4-FFF2-40B4-BE49-F238E27FC236}">
              <a16:creationId xmlns:a16="http://schemas.microsoft.com/office/drawing/2014/main" id="{00000000-0008-0000-0000-00007A000000}"/>
            </a:ext>
          </a:extLst>
        </xdr:cNvPr>
        <xdr:cNvSpPr txBox="1"/>
      </xdr:nvSpPr>
      <xdr:spPr>
        <a:xfrm>
          <a:off x="111496475" y="517588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http://ciceet.unh.edu/news/releases/spring08_progress_reports/pdf/vallino.pdf</a:t>
          </a:r>
        </a:p>
      </xdr:txBody>
    </xdr:sp>
    <xdr:clientData/>
  </xdr:twoCellAnchor>
  <xdr:twoCellAnchor>
    <xdr:from>
      <xdr:col>121</xdr:col>
      <xdr:colOff>0</xdr:colOff>
      <xdr:row>43</xdr:row>
      <xdr:rowOff>415925</xdr:rowOff>
    </xdr:from>
    <xdr:to>
      <xdr:col>122</xdr:col>
      <xdr:colOff>0</xdr:colOff>
      <xdr:row>43</xdr:row>
      <xdr:rowOff>657225</xdr:rowOff>
    </xdr:to>
    <xdr:sp macro="" textlink="">
      <xdr:nvSpPr>
        <xdr:cNvPr id="125" name="TextBox 124">
          <a:hlinkClick xmlns:r="http://schemas.openxmlformats.org/officeDocument/2006/relationships" r:id="rId16"/>
          <a:extLst>
            <a:ext uri="{FF2B5EF4-FFF2-40B4-BE49-F238E27FC236}">
              <a16:creationId xmlns:a16="http://schemas.microsoft.com/office/drawing/2014/main" id="{00000000-0008-0000-0000-00007D000000}"/>
            </a:ext>
          </a:extLst>
        </xdr:cNvPr>
        <xdr:cNvSpPr txBox="1"/>
      </xdr:nvSpPr>
      <xdr:spPr>
        <a:xfrm>
          <a:off x="111509175" y="841089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http://www.mass.gov/envir/smart_growth_toolkit/bylaws/TDR-Bylaw.pdf</a:t>
          </a:r>
        </a:p>
      </xdr:txBody>
    </xdr:sp>
    <xdr:clientData/>
  </xdr:twoCellAnchor>
  <xdr:twoCellAnchor>
    <xdr:from>
      <xdr:col>121</xdr:col>
      <xdr:colOff>0</xdr:colOff>
      <xdr:row>40</xdr:row>
      <xdr:rowOff>1266825</xdr:rowOff>
    </xdr:from>
    <xdr:to>
      <xdr:col>122</xdr:col>
      <xdr:colOff>0</xdr:colOff>
      <xdr:row>40</xdr:row>
      <xdr:rowOff>1508125</xdr:rowOff>
    </xdr:to>
    <xdr:sp macro="" textlink="">
      <xdr:nvSpPr>
        <xdr:cNvPr id="126" name="TextBox 125">
          <a:hlinkClick xmlns:r="http://schemas.openxmlformats.org/officeDocument/2006/relationships" r:id="rId17"/>
          <a:extLst>
            <a:ext uri="{FF2B5EF4-FFF2-40B4-BE49-F238E27FC236}">
              <a16:creationId xmlns:a16="http://schemas.microsoft.com/office/drawing/2014/main" id="{00000000-0008-0000-0000-00007E000000}"/>
            </a:ext>
          </a:extLst>
        </xdr:cNvPr>
        <xdr:cNvSpPr txBox="1"/>
      </xdr:nvSpPr>
      <xdr:spPr>
        <a:xfrm>
          <a:off x="111909225" y="734917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http://www.worldsweeper.com/Street/Studies/CWPStudy/CBStreetSweeping.pdf</a:t>
          </a:r>
        </a:p>
      </xdr:txBody>
    </xdr:sp>
    <xdr:clientData/>
  </xdr:twoCellAnchor>
  <xdr:twoCellAnchor>
    <xdr:from>
      <xdr:col>121</xdr:col>
      <xdr:colOff>0</xdr:colOff>
      <xdr:row>40</xdr:row>
      <xdr:rowOff>260350</xdr:rowOff>
    </xdr:from>
    <xdr:to>
      <xdr:col>122</xdr:col>
      <xdr:colOff>0</xdr:colOff>
      <xdr:row>40</xdr:row>
      <xdr:rowOff>501650</xdr:rowOff>
    </xdr:to>
    <xdr:sp macro="" textlink="">
      <xdr:nvSpPr>
        <xdr:cNvPr id="128" name="TextBox 127">
          <a:hlinkClick xmlns:r="http://schemas.openxmlformats.org/officeDocument/2006/relationships" r:id="rId18"/>
          <a:extLst>
            <a:ext uri="{FF2B5EF4-FFF2-40B4-BE49-F238E27FC236}">
              <a16:creationId xmlns:a16="http://schemas.microsoft.com/office/drawing/2014/main" id="{00000000-0008-0000-0000-000080000000}"/>
            </a:ext>
          </a:extLst>
        </xdr:cNvPr>
        <xdr:cNvSpPr txBox="1"/>
      </xdr:nvSpPr>
      <xdr:spPr>
        <a:xfrm>
          <a:off x="111912400" y="724852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http://www.epa.gov/owow/watershed/outreach/documents/getnstep.pdf</a:t>
          </a:r>
        </a:p>
      </xdr:txBody>
    </xdr:sp>
    <xdr:clientData/>
  </xdr:twoCellAnchor>
  <xdr:twoCellAnchor>
    <xdr:from>
      <xdr:col>121</xdr:col>
      <xdr:colOff>0</xdr:colOff>
      <xdr:row>40</xdr:row>
      <xdr:rowOff>98425</xdr:rowOff>
    </xdr:from>
    <xdr:to>
      <xdr:col>122</xdr:col>
      <xdr:colOff>0</xdr:colOff>
      <xdr:row>40</xdr:row>
      <xdr:rowOff>339725</xdr:rowOff>
    </xdr:to>
    <xdr:sp macro="" textlink="">
      <xdr:nvSpPr>
        <xdr:cNvPr id="129" name="TextBox 128">
          <a:hlinkClick xmlns:r="http://schemas.openxmlformats.org/officeDocument/2006/relationships" r:id="rId19"/>
          <a:extLst>
            <a:ext uri="{FF2B5EF4-FFF2-40B4-BE49-F238E27FC236}">
              <a16:creationId xmlns:a16="http://schemas.microsoft.com/office/drawing/2014/main" id="{00000000-0008-0000-0000-000081000000}"/>
            </a:ext>
          </a:extLst>
        </xdr:cNvPr>
        <xdr:cNvSpPr txBox="1"/>
      </xdr:nvSpPr>
      <xdr:spPr>
        <a:xfrm>
          <a:off x="111461550" y="722661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http://cfpub.epa.gov/npdes/stormwater/menuofbmps/index.cfm?action=browse&amp;Rbutton=detail&amp;bmp=99 </a:t>
          </a:r>
        </a:p>
      </xdr:txBody>
    </xdr:sp>
    <xdr:clientData/>
  </xdr:twoCellAnchor>
  <xdr:twoCellAnchor>
    <xdr:from>
      <xdr:col>121</xdr:col>
      <xdr:colOff>0</xdr:colOff>
      <xdr:row>40</xdr:row>
      <xdr:rowOff>593725</xdr:rowOff>
    </xdr:from>
    <xdr:to>
      <xdr:col>122</xdr:col>
      <xdr:colOff>0</xdr:colOff>
      <xdr:row>40</xdr:row>
      <xdr:rowOff>835025</xdr:rowOff>
    </xdr:to>
    <xdr:sp macro="" textlink="">
      <xdr:nvSpPr>
        <xdr:cNvPr id="131" name="TextBox 130">
          <a:hlinkClick xmlns:r="http://schemas.openxmlformats.org/officeDocument/2006/relationships" r:id="rId20"/>
          <a:extLst>
            <a:ext uri="{FF2B5EF4-FFF2-40B4-BE49-F238E27FC236}">
              <a16:creationId xmlns:a16="http://schemas.microsoft.com/office/drawing/2014/main" id="{00000000-0008-0000-0000-000083000000}"/>
            </a:ext>
          </a:extLst>
        </xdr:cNvPr>
        <xdr:cNvSpPr txBox="1"/>
      </xdr:nvSpPr>
      <xdr:spPr>
        <a:xfrm>
          <a:off x="111512350" y="727614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http://www.cabmphandbooks.com/Documents/Municipal/SC-70.pdf</a:t>
          </a:r>
        </a:p>
      </xdr:txBody>
    </xdr:sp>
    <xdr:clientData/>
  </xdr:twoCellAnchor>
  <xdr:twoCellAnchor>
    <xdr:from>
      <xdr:col>121</xdr:col>
      <xdr:colOff>0</xdr:colOff>
      <xdr:row>34</xdr:row>
      <xdr:rowOff>1568450</xdr:rowOff>
    </xdr:from>
    <xdr:to>
      <xdr:col>122</xdr:col>
      <xdr:colOff>0</xdr:colOff>
      <xdr:row>34</xdr:row>
      <xdr:rowOff>1809750</xdr:rowOff>
    </xdr:to>
    <xdr:sp macro="" textlink="">
      <xdr:nvSpPr>
        <xdr:cNvPr id="135" name="TextBox 134">
          <a:hlinkClick xmlns:r="http://schemas.openxmlformats.org/officeDocument/2006/relationships" r:id="rId21"/>
          <a:extLst>
            <a:ext uri="{FF2B5EF4-FFF2-40B4-BE49-F238E27FC236}">
              <a16:creationId xmlns:a16="http://schemas.microsoft.com/office/drawing/2014/main" id="{00000000-0008-0000-0000-000087000000}"/>
            </a:ext>
          </a:extLst>
        </xdr:cNvPr>
        <xdr:cNvSpPr txBox="1"/>
      </xdr:nvSpPr>
      <xdr:spPr>
        <a:xfrm>
          <a:off x="111877475" y="604583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http://www.ecosanres.org/pdf_files/ToiletsThatMakeCompost.pdf</a:t>
          </a:r>
        </a:p>
      </xdr:txBody>
    </xdr:sp>
    <xdr:clientData/>
  </xdr:twoCellAnchor>
  <xdr:twoCellAnchor>
    <xdr:from>
      <xdr:col>121</xdr:col>
      <xdr:colOff>0</xdr:colOff>
      <xdr:row>38</xdr:row>
      <xdr:rowOff>587375</xdr:rowOff>
    </xdr:from>
    <xdr:to>
      <xdr:col>122</xdr:col>
      <xdr:colOff>0</xdr:colOff>
      <xdr:row>38</xdr:row>
      <xdr:rowOff>828675</xdr:rowOff>
    </xdr:to>
    <xdr:sp macro="" textlink="">
      <xdr:nvSpPr>
        <xdr:cNvPr id="136" name="TextBox 135">
          <a:hlinkClick xmlns:r="http://schemas.openxmlformats.org/officeDocument/2006/relationships" r:id="rId12"/>
          <a:extLst>
            <a:ext uri="{FF2B5EF4-FFF2-40B4-BE49-F238E27FC236}">
              <a16:creationId xmlns:a16="http://schemas.microsoft.com/office/drawing/2014/main" id="{00000000-0008-0000-0000-000088000000}"/>
            </a:ext>
          </a:extLst>
        </xdr:cNvPr>
        <xdr:cNvSpPr txBox="1"/>
      </xdr:nvSpPr>
      <xdr:spPr>
        <a:xfrm>
          <a:off x="111521875" y="673893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http://richearthinstitute.org/?page_id=739</a:t>
          </a:r>
        </a:p>
      </xdr:txBody>
    </xdr:sp>
    <xdr:clientData/>
  </xdr:twoCellAnchor>
  <xdr:twoCellAnchor>
    <xdr:from>
      <xdr:col>121</xdr:col>
      <xdr:colOff>0</xdr:colOff>
      <xdr:row>38</xdr:row>
      <xdr:rowOff>1079500</xdr:rowOff>
    </xdr:from>
    <xdr:to>
      <xdr:col>122</xdr:col>
      <xdr:colOff>0</xdr:colOff>
      <xdr:row>38</xdr:row>
      <xdr:rowOff>1320800</xdr:rowOff>
    </xdr:to>
    <xdr:sp macro="" textlink="">
      <xdr:nvSpPr>
        <xdr:cNvPr id="137" name="TextBox 136">
          <a:hlinkClick xmlns:r="http://schemas.openxmlformats.org/officeDocument/2006/relationships" r:id="rId22"/>
          <a:extLst>
            <a:ext uri="{FF2B5EF4-FFF2-40B4-BE49-F238E27FC236}">
              <a16:creationId xmlns:a16="http://schemas.microsoft.com/office/drawing/2014/main" id="{00000000-0008-0000-0000-000089000000}"/>
            </a:ext>
          </a:extLst>
        </xdr:cNvPr>
        <xdr:cNvSpPr txBox="1"/>
      </xdr:nvSpPr>
      <xdr:spPr>
        <a:xfrm>
          <a:off x="111928275" y="67932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0</xdr:colOff>
      <xdr:row>38</xdr:row>
      <xdr:rowOff>1384300</xdr:rowOff>
    </xdr:from>
    <xdr:to>
      <xdr:col>122</xdr:col>
      <xdr:colOff>0</xdr:colOff>
      <xdr:row>38</xdr:row>
      <xdr:rowOff>1625600</xdr:rowOff>
    </xdr:to>
    <xdr:sp macro="" textlink="">
      <xdr:nvSpPr>
        <xdr:cNvPr id="138" name="TextBox 137">
          <a:hlinkClick xmlns:r="http://schemas.openxmlformats.org/officeDocument/2006/relationships" r:id="rId23"/>
          <a:extLst>
            <a:ext uri="{FF2B5EF4-FFF2-40B4-BE49-F238E27FC236}">
              <a16:creationId xmlns:a16="http://schemas.microsoft.com/office/drawing/2014/main" id="{00000000-0008-0000-0000-00008A000000}"/>
            </a:ext>
          </a:extLst>
        </xdr:cNvPr>
        <xdr:cNvSpPr txBox="1"/>
      </xdr:nvSpPr>
      <xdr:spPr>
        <a:xfrm>
          <a:off x="111525050" y="68186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http://www.ecovita.net/</a:t>
          </a:r>
        </a:p>
      </xdr:txBody>
    </xdr:sp>
    <xdr:clientData/>
  </xdr:twoCellAnchor>
  <xdr:twoCellAnchor>
    <xdr:from>
      <xdr:col>121</xdr:col>
      <xdr:colOff>0</xdr:colOff>
      <xdr:row>13</xdr:row>
      <xdr:rowOff>266700</xdr:rowOff>
    </xdr:from>
    <xdr:to>
      <xdr:col>122</xdr:col>
      <xdr:colOff>0</xdr:colOff>
      <xdr:row>13</xdr:row>
      <xdr:rowOff>508000</xdr:rowOff>
    </xdr:to>
    <xdr:sp macro="" textlink="">
      <xdr:nvSpPr>
        <xdr:cNvPr id="139" name="TextBox 138">
          <a:hlinkClick xmlns:r="http://schemas.openxmlformats.org/officeDocument/2006/relationships" r:id="rId2"/>
          <a:extLst>
            <a:ext uri="{FF2B5EF4-FFF2-40B4-BE49-F238E27FC236}">
              <a16:creationId xmlns:a16="http://schemas.microsoft.com/office/drawing/2014/main" id="{00000000-0008-0000-0000-00008B000000}"/>
            </a:ext>
          </a:extLst>
        </xdr:cNvPr>
        <xdr:cNvSpPr txBox="1"/>
      </xdr:nvSpPr>
      <xdr:spPr>
        <a:xfrm>
          <a:off x="111486950" y="209518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0</xdr:colOff>
      <xdr:row>14</xdr:row>
      <xdr:rowOff>584200</xdr:rowOff>
    </xdr:from>
    <xdr:to>
      <xdr:col>122</xdr:col>
      <xdr:colOff>0</xdr:colOff>
      <xdr:row>14</xdr:row>
      <xdr:rowOff>825500</xdr:rowOff>
    </xdr:to>
    <xdr:sp macro="" textlink="">
      <xdr:nvSpPr>
        <xdr:cNvPr id="140" name="TextBox 139">
          <a:hlinkClick xmlns:r="http://schemas.openxmlformats.org/officeDocument/2006/relationships" r:id="rId24"/>
          <a:extLst>
            <a:ext uri="{FF2B5EF4-FFF2-40B4-BE49-F238E27FC236}">
              <a16:creationId xmlns:a16="http://schemas.microsoft.com/office/drawing/2014/main" id="{00000000-0008-0000-0000-00008C000000}"/>
            </a:ext>
          </a:extLst>
        </xdr:cNvPr>
        <xdr:cNvSpPr txBox="1"/>
      </xdr:nvSpPr>
      <xdr:spPr>
        <a:xfrm>
          <a:off x="111471075" y="240633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http://www.unh.edu/unhsc/sites/unh.edu.unhsc/files/pubs_specs_info/unhsc_gravel_wetland_specs_6_09.pdf</a:t>
          </a:r>
        </a:p>
      </xdr:txBody>
    </xdr:sp>
    <xdr:clientData/>
  </xdr:twoCellAnchor>
  <xdr:twoCellAnchor>
    <xdr:from>
      <xdr:col>121</xdr:col>
      <xdr:colOff>0</xdr:colOff>
      <xdr:row>14</xdr:row>
      <xdr:rowOff>927100</xdr:rowOff>
    </xdr:from>
    <xdr:to>
      <xdr:col>122</xdr:col>
      <xdr:colOff>0</xdr:colOff>
      <xdr:row>14</xdr:row>
      <xdr:rowOff>1168400</xdr:rowOff>
    </xdr:to>
    <xdr:sp macro="" textlink="">
      <xdr:nvSpPr>
        <xdr:cNvPr id="141" name="TextBox 140">
          <a:hlinkClick xmlns:r="http://schemas.openxmlformats.org/officeDocument/2006/relationships" r:id="rId25"/>
          <a:extLst>
            <a:ext uri="{FF2B5EF4-FFF2-40B4-BE49-F238E27FC236}">
              <a16:creationId xmlns:a16="http://schemas.microsoft.com/office/drawing/2014/main" id="{00000000-0008-0000-0000-00008D000000}"/>
            </a:ext>
          </a:extLst>
        </xdr:cNvPr>
        <xdr:cNvSpPr txBox="1"/>
      </xdr:nvSpPr>
      <xdr:spPr>
        <a:xfrm>
          <a:off x="111512350" y="244062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http://www.crwa.org/projects/bmpfactsheets/crwa_gravelwetland.pdf</a:t>
          </a:r>
        </a:p>
      </xdr:txBody>
    </xdr:sp>
    <xdr:clientData/>
  </xdr:twoCellAnchor>
  <xdr:twoCellAnchor>
    <xdr:from>
      <xdr:col>121</xdr:col>
      <xdr:colOff>0</xdr:colOff>
      <xdr:row>9</xdr:row>
      <xdr:rowOff>117475</xdr:rowOff>
    </xdr:from>
    <xdr:to>
      <xdr:col>122</xdr:col>
      <xdr:colOff>0</xdr:colOff>
      <xdr:row>9</xdr:row>
      <xdr:rowOff>358775</xdr:rowOff>
    </xdr:to>
    <xdr:sp macro="" textlink="">
      <xdr:nvSpPr>
        <xdr:cNvPr id="146" name="TextBox 145">
          <a:hlinkClick xmlns:r="http://schemas.openxmlformats.org/officeDocument/2006/relationships" r:id="rId26"/>
          <a:extLst>
            <a:ext uri="{FF2B5EF4-FFF2-40B4-BE49-F238E27FC236}">
              <a16:creationId xmlns:a16="http://schemas.microsoft.com/office/drawing/2014/main" id="{00000000-0008-0000-0000-000092000000}"/>
            </a:ext>
          </a:extLst>
        </xdr:cNvPr>
        <xdr:cNvSpPr txBox="1"/>
      </xdr:nvSpPr>
      <xdr:spPr>
        <a:xfrm>
          <a:off x="111496475" y="123412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http://www.toddecological.com/clients/list.php</a:t>
          </a:r>
        </a:p>
      </xdr:txBody>
    </xdr:sp>
    <xdr:clientData/>
  </xdr:twoCellAnchor>
  <xdr:twoCellAnchor>
    <xdr:from>
      <xdr:col>121</xdr:col>
      <xdr:colOff>0</xdr:colOff>
      <xdr:row>9</xdr:row>
      <xdr:rowOff>412750</xdr:rowOff>
    </xdr:from>
    <xdr:to>
      <xdr:col>122</xdr:col>
      <xdr:colOff>0</xdr:colOff>
      <xdr:row>9</xdr:row>
      <xdr:rowOff>654050</xdr:rowOff>
    </xdr:to>
    <xdr:sp macro="" textlink="">
      <xdr:nvSpPr>
        <xdr:cNvPr id="147" name="TextBox 146">
          <a:hlinkClick xmlns:r="http://schemas.openxmlformats.org/officeDocument/2006/relationships" r:id="rId27"/>
          <a:extLst>
            <a:ext uri="{FF2B5EF4-FFF2-40B4-BE49-F238E27FC236}">
              <a16:creationId xmlns:a16="http://schemas.microsoft.com/office/drawing/2014/main" id="{00000000-0008-0000-0000-000093000000}"/>
            </a:ext>
          </a:extLst>
        </xdr:cNvPr>
        <xdr:cNvSpPr txBox="1"/>
      </xdr:nvSpPr>
      <xdr:spPr>
        <a:xfrm>
          <a:off x="111521875" y="12636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http://water.epa.gov/scitech/wastetech/upload/2002_12_13_mtb_living_machine.pdf</a:t>
          </a:r>
        </a:p>
      </xdr:txBody>
    </xdr:sp>
    <xdr:clientData/>
  </xdr:twoCellAnchor>
  <xdr:twoCellAnchor>
    <xdr:from>
      <xdr:col>121</xdr:col>
      <xdr:colOff>0</xdr:colOff>
      <xdr:row>9</xdr:row>
      <xdr:rowOff>1254125</xdr:rowOff>
    </xdr:from>
    <xdr:to>
      <xdr:col>122</xdr:col>
      <xdr:colOff>0</xdr:colOff>
      <xdr:row>9</xdr:row>
      <xdr:rowOff>1495425</xdr:rowOff>
    </xdr:to>
    <xdr:sp macro="" textlink="">
      <xdr:nvSpPr>
        <xdr:cNvPr id="148" name="TextBox 147">
          <a:hlinkClick xmlns:r="http://schemas.openxmlformats.org/officeDocument/2006/relationships" r:id="rId28"/>
          <a:extLst>
            <a:ext uri="{FF2B5EF4-FFF2-40B4-BE49-F238E27FC236}">
              <a16:creationId xmlns:a16="http://schemas.microsoft.com/office/drawing/2014/main" id="{00000000-0008-0000-0000-000094000000}"/>
            </a:ext>
          </a:extLst>
        </xdr:cNvPr>
        <xdr:cNvSpPr txBox="1"/>
      </xdr:nvSpPr>
      <xdr:spPr>
        <a:xfrm>
          <a:off x="111912400" y="134842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http://toddecological.com/clients/PDFs/100623.casestudy.southburlington.pdf</a:t>
          </a:r>
        </a:p>
      </xdr:txBody>
    </xdr:sp>
    <xdr:clientData/>
  </xdr:twoCellAnchor>
  <xdr:twoCellAnchor>
    <xdr:from>
      <xdr:col>121</xdr:col>
      <xdr:colOff>0</xdr:colOff>
      <xdr:row>34</xdr:row>
      <xdr:rowOff>923925</xdr:rowOff>
    </xdr:from>
    <xdr:to>
      <xdr:col>122</xdr:col>
      <xdr:colOff>0</xdr:colOff>
      <xdr:row>34</xdr:row>
      <xdr:rowOff>1165225</xdr:rowOff>
    </xdr:to>
    <xdr:sp macro="" textlink="">
      <xdr:nvSpPr>
        <xdr:cNvPr id="149" name="TextBox 148">
          <a:hlinkClick xmlns:r="http://schemas.openxmlformats.org/officeDocument/2006/relationships" r:id="rId29"/>
          <a:extLst>
            <a:ext uri="{FF2B5EF4-FFF2-40B4-BE49-F238E27FC236}">
              <a16:creationId xmlns:a16="http://schemas.microsoft.com/office/drawing/2014/main" id="{00000000-0008-0000-0000-000095000000}"/>
            </a:ext>
          </a:extLst>
        </xdr:cNvPr>
        <xdr:cNvSpPr txBox="1"/>
      </xdr:nvSpPr>
      <xdr:spPr>
        <a:xfrm>
          <a:off x="111915575" y="598138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http://water.epa.gov/aboutow/owm/upload/2005_07_14_comp.pdf</a:t>
          </a:r>
        </a:p>
      </xdr:txBody>
    </xdr:sp>
    <xdr:clientData/>
  </xdr:twoCellAnchor>
  <xdr:twoCellAnchor>
    <xdr:from>
      <xdr:col>121</xdr:col>
      <xdr:colOff>0</xdr:colOff>
      <xdr:row>34</xdr:row>
      <xdr:rowOff>1266825</xdr:rowOff>
    </xdr:from>
    <xdr:to>
      <xdr:col>122</xdr:col>
      <xdr:colOff>0</xdr:colOff>
      <xdr:row>34</xdr:row>
      <xdr:rowOff>1508125</xdr:rowOff>
    </xdr:to>
    <xdr:sp macro="" textlink="">
      <xdr:nvSpPr>
        <xdr:cNvPr id="150" name="TextBox 149">
          <a:hlinkClick xmlns:r="http://schemas.openxmlformats.org/officeDocument/2006/relationships" r:id="rId30"/>
          <a:extLst>
            <a:ext uri="{FF2B5EF4-FFF2-40B4-BE49-F238E27FC236}">
              <a16:creationId xmlns:a16="http://schemas.microsoft.com/office/drawing/2014/main" id="{00000000-0008-0000-0000-000096000000}"/>
            </a:ext>
          </a:extLst>
        </xdr:cNvPr>
        <xdr:cNvSpPr txBox="1"/>
      </xdr:nvSpPr>
      <xdr:spPr>
        <a:xfrm>
          <a:off x="111909225" y="601567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http://www.ecosanres.org/pdf_files/ESR-factsheet-13.pdf</a:t>
          </a:r>
        </a:p>
      </xdr:txBody>
    </xdr:sp>
    <xdr:clientData/>
  </xdr:twoCellAnchor>
  <xdr:twoCellAnchor>
    <xdr:from>
      <xdr:col>121</xdr:col>
      <xdr:colOff>0</xdr:colOff>
      <xdr:row>30</xdr:row>
      <xdr:rowOff>571500</xdr:rowOff>
    </xdr:from>
    <xdr:to>
      <xdr:col>122</xdr:col>
      <xdr:colOff>0</xdr:colOff>
      <xdr:row>30</xdr:row>
      <xdr:rowOff>812800</xdr:rowOff>
    </xdr:to>
    <xdr:sp macro="" textlink="">
      <xdr:nvSpPr>
        <xdr:cNvPr id="151" name="TextBox 150">
          <a:hlinkClick xmlns:r="http://schemas.openxmlformats.org/officeDocument/2006/relationships" r:id="rId31"/>
          <a:extLst>
            <a:ext uri="{FF2B5EF4-FFF2-40B4-BE49-F238E27FC236}">
              <a16:creationId xmlns:a16="http://schemas.microsoft.com/office/drawing/2014/main" id="{00000000-0008-0000-0000-000097000000}"/>
            </a:ext>
          </a:extLst>
        </xdr:cNvPr>
        <xdr:cNvSpPr txBox="1"/>
      </xdr:nvSpPr>
      <xdr:spPr>
        <a:xfrm>
          <a:off x="111521875" y="514191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http://link.springer.com/article/10.1007/s11252-012-0266-z</a:t>
          </a:r>
        </a:p>
      </xdr:txBody>
    </xdr:sp>
    <xdr:clientData/>
  </xdr:twoCellAnchor>
  <xdr:twoCellAnchor>
    <xdr:from>
      <xdr:col>121</xdr:col>
      <xdr:colOff>0</xdr:colOff>
      <xdr:row>28</xdr:row>
      <xdr:rowOff>911225</xdr:rowOff>
    </xdr:from>
    <xdr:to>
      <xdr:col>122</xdr:col>
      <xdr:colOff>0</xdr:colOff>
      <xdr:row>28</xdr:row>
      <xdr:rowOff>1152525</xdr:rowOff>
    </xdr:to>
    <xdr:sp macro="" textlink="">
      <xdr:nvSpPr>
        <xdr:cNvPr id="155" name="TextBox 154">
          <a:hlinkClick xmlns:r="http://schemas.openxmlformats.org/officeDocument/2006/relationships" r:id="rId15"/>
          <a:extLst>
            <a:ext uri="{FF2B5EF4-FFF2-40B4-BE49-F238E27FC236}">
              <a16:creationId xmlns:a16="http://schemas.microsoft.com/office/drawing/2014/main" id="{00000000-0008-0000-0000-00009B000000}"/>
            </a:ext>
          </a:extLst>
        </xdr:cNvPr>
        <xdr:cNvSpPr txBox="1"/>
      </xdr:nvSpPr>
      <xdr:spPr>
        <a:xfrm>
          <a:off x="111496475" y="47663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http://ciceet.unh.edu/news/releases/spring08_progress_reports/pdf/vallino.pdf</a:t>
          </a:r>
        </a:p>
      </xdr:txBody>
    </xdr:sp>
    <xdr:clientData/>
  </xdr:twoCellAnchor>
  <xdr:twoCellAnchor>
    <xdr:from>
      <xdr:col>121</xdr:col>
      <xdr:colOff>0</xdr:colOff>
      <xdr:row>30</xdr:row>
      <xdr:rowOff>104775</xdr:rowOff>
    </xdr:from>
    <xdr:to>
      <xdr:col>122</xdr:col>
      <xdr:colOff>0</xdr:colOff>
      <xdr:row>30</xdr:row>
      <xdr:rowOff>346075</xdr:rowOff>
    </xdr:to>
    <xdr:sp macro="" textlink="">
      <xdr:nvSpPr>
        <xdr:cNvPr id="156" name="TextBox 155">
          <a:hlinkClick xmlns:r="http://schemas.openxmlformats.org/officeDocument/2006/relationships" r:id="rId32"/>
          <a:extLst>
            <a:ext uri="{FF2B5EF4-FFF2-40B4-BE49-F238E27FC236}">
              <a16:creationId xmlns:a16="http://schemas.microsoft.com/office/drawing/2014/main" id="{00000000-0008-0000-0000-00009C000000}"/>
            </a:ext>
          </a:extLst>
        </xdr:cNvPr>
        <xdr:cNvSpPr txBox="1"/>
      </xdr:nvSpPr>
      <xdr:spPr>
        <a:xfrm>
          <a:off x="111902875" y="509936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twoCellAnchor>
    <xdr:from>
      <xdr:col>121</xdr:col>
      <xdr:colOff>0</xdr:colOff>
      <xdr:row>27</xdr:row>
      <xdr:rowOff>920750</xdr:rowOff>
    </xdr:from>
    <xdr:to>
      <xdr:col>122</xdr:col>
      <xdr:colOff>0</xdr:colOff>
      <xdr:row>27</xdr:row>
      <xdr:rowOff>1162050</xdr:rowOff>
    </xdr:to>
    <xdr:sp macro="" textlink="">
      <xdr:nvSpPr>
        <xdr:cNvPr id="157" name="TextBox 156">
          <a:hlinkClick xmlns:r="http://schemas.openxmlformats.org/officeDocument/2006/relationships" r:id="rId33"/>
          <a:extLst>
            <a:ext uri="{FF2B5EF4-FFF2-40B4-BE49-F238E27FC236}">
              <a16:creationId xmlns:a16="http://schemas.microsoft.com/office/drawing/2014/main" id="{00000000-0008-0000-0000-00009D000000}"/>
            </a:ext>
          </a:extLst>
        </xdr:cNvPr>
        <xdr:cNvSpPr txBox="1"/>
      </xdr:nvSpPr>
      <xdr:spPr>
        <a:xfrm>
          <a:off x="111940975" y="453072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http://www.epa.gov/tio/download/remed/phytotechnologies-factsheet.pdf</a:t>
          </a:r>
        </a:p>
      </xdr:txBody>
    </xdr:sp>
    <xdr:clientData/>
  </xdr:twoCellAnchor>
  <xdr:twoCellAnchor>
    <xdr:from>
      <xdr:col>121</xdr:col>
      <xdr:colOff>0</xdr:colOff>
      <xdr:row>6</xdr:row>
      <xdr:rowOff>409575</xdr:rowOff>
    </xdr:from>
    <xdr:to>
      <xdr:col>122</xdr:col>
      <xdr:colOff>0</xdr:colOff>
      <xdr:row>6</xdr:row>
      <xdr:rowOff>650875</xdr:rowOff>
    </xdr:to>
    <xdr:sp macro="" textlink="">
      <xdr:nvSpPr>
        <xdr:cNvPr id="162" name="TextBox 161">
          <a:hlinkClick xmlns:r="http://schemas.openxmlformats.org/officeDocument/2006/relationships" r:id="rId34"/>
          <a:extLst>
            <a:ext uri="{FF2B5EF4-FFF2-40B4-BE49-F238E27FC236}">
              <a16:creationId xmlns:a16="http://schemas.microsoft.com/office/drawing/2014/main" id="{00000000-0008-0000-0000-0000A2000000}"/>
            </a:ext>
          </a:extLst>
        </xdr:cNvPr>
        <xdr:cNvSpPr txBox="1"/>
      </xdr:nvSpPr>
      <xdr:spPr>
        <a:xfrm>
          <a:off x="111502825" y="22669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http://water.epa.gov/type/wetlands/restore/upload/constructed-wetlands-design-manual.pdf</a:t>
          </a:r>
        </a:p>
      </xdr:txBody>
    </xdr:sp>
    <xdr:clientData/>
  </xdr:twoCellAnchor>
  <xdr:twoCellAnchor>
    <xdr:from>
      <xdr:col>121</xdr:col>
      <xdr:colOff>0</xdr:colOff>
      <xdr:row>7</xdr:row>
      <xdr:rowOff>930275</xdr:rowOff>
    </xdr:from>
    <xdr:to>
      <xdr:col>122</xdr:col>
      <xdr:colOff>0</xdr:colOff>
      <xdr:row>7</xdr:row>
      <xdr:rowOff>1171575</xdr:rowOff>
    </xdr:to>
    <xdr:sp macro="" textlink="">
      <xdr:nvSpPr>
        <xdr:cNvPr id="163" name="TextBox 162">
          <a:hlinkClick xmlns:r="http://schemas.openxmlformats.org/officeDocument/2006/relationships" r:id="rId35"/>
          <a:extLst>
            <a:ext uri="{FF2B5EF4-FFF2-40B4-BE49-F238E27FC236}">
              <a16:creationId xmlns:a16="http://schemas.microsoft.com/office/drawing/2014/main" id="{00000000-0008-0000-0000-0000A3000000}"/>
            </a:ext>
          </a:extLst>
        </xdr:cNvPr>
        <xdr:cNvSpPr txBox="1"/>
      </xdr:nvSpPr>
      <xdr:spPr>
        <a:xfrm>
          <a:off x="111925100" y="72294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http://link.springer.com/article/10.1023%2FB%3AWAFO.0000028385.63075.51</a:t>
          </a:r>
        </a:p>
      </xdr:txBody>
    </xdr:sp>
    <xdr:clientData/>
  </xdr:twoCellAnchor>
  <xdr:twoCellAnchor>
    <xdr:from>
      <xdr:col>121</xdr:col>
      <xdr:colOff>0</xdr:colOff>
      <xdr:row>6</xdr:row>
      <xdr:rowOff>2247900</xdr:rowOff>
    </xdr:from>
    <xdr:to>
      <xdr:col>122</xdr:col>
      <xdr:colOff>0</xdr:colOff>
      <xdr:row>6</xdr:row>
      <xdr:rowOff>2489200</xdr:rowOff>
    </xdr:to>
    <xdr:sp macro="" textlink="">
      <xdr:nvSpPr>
        <xdr:cNvPr id="165" name="TextBox 164">
          <a:hlinkClick xmlns:r="http://schemas.openxmlformats.org/officeDocument/2006/relationships" r:id="rId36"/>
          <a:extLst>
            <a:ext uri="{FF2B5EF4-FFF2-40B4-BE49-F238E27FC236}">
              <a16:creationId xmlns:a16="http://schemas.microsoft.com/office/drawing/2014/main" id="{00000000-0008-0000-0000-0000A5000000}"/>
            </a:ext>
          </a:extLst>
        </xdr:cNvPr>
        <xdr:cNvSpPr txBox="1"/>
      </xdr:nvSpPr>
      <xdr:spPr>
        <a:xfrm>
          <a:off x="111925100" y="41148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http://link.springer.com/article/10.1007%2Fs13157-013-0444-7#</a:t>
          </a:r>
        </a:p>
      </xdr:txBody>
    </xdr:sp>
    <xdr:clientData/>
  </xdr:twoCellAnchor>
  <xdr:twoCellAnchor>
    <xdr:from>
      <xdr:col>121</xdr:col>
      <xdr:colOff>0</xdr:colOff>
      <xdr:row>6</xdr:row>
      <xdr:rowOff>88900</xdr:rowOff>
    </xdr:from>
    <xdr:to>
      <xdr:col>122</xdr:col>
      <xdr:colOff>0</xdr:colOff>
      <xdr:row>6</xdr:row>
      <xdr:rowOff>330200</xdr:rowOff>
    </xdr:to>
    <xdr:sp macro="" textlink="">
      <xdr:nvSpPr>
        <xdr:cNvPr id="166" name="TextBox 165">
          <a:hlinkClick xmlns:r="http://schemas.openxmlformats.org/officeDocument/2006/relationships" r:id="rId37" invalidUrl="http://www.firelandstributaries.net/pdfs/Local workgroup/Treatment_Wetlands.pdf"/>
          <a:extLst>
            <a:ext uri="{FF2B5EF4-FFF2-40B4-BE49-F238E27FC236}">
              <a16:creationId xmlns:a16="http://schemas.microsoft.com/office/drawing/2014/main" id="{00000000-0008-0000-0000-0000A6000000}"/>
            </a:ext>
          </a:extLst>
        </xdr:cNvPr>
        <xdr:cNvSpPr txBox="1"/>
      </xdr:nvSpPr>
      <xdr:spPr>
        <a:xfrm>
          <a:off x="111499650" y="19462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http://www.firelandstributaries.net/pdfs/Local%20workgroup/Treatment_Wetlands.pdf</a:t>
          </a:r>
        </a:p>
      </xdr:txBody>
    </xdr:sp>
    <xdr:clientData/>
  </xdr:twoCellAnchor>
  <xdr:twoCellAnchor>
    <xdr:from>
      <xdr:col>121</xdr:col>
      <xdr:colOff>0</xdr:colOff>
      <xdr:row>7</xdr:row>
      <xdr:rowOff>1257300</xdr:rowOff>
    </xdr:from>
    <xdr:to>
      <xdr:col>122</xdr:col>
      <xdr:colOff>0</xdr:colOff>
      <xdr:row>7</xdr:row>
      <xdr:rowOff>1498600</xdr:rowOff>
    </xdr:to>
    <xdr:sp macro="" textlink="">
      <xdr:nvSpPr>
        <xdr:cNvPr id="168" name="TextBox 167">
          <a:hlinkClick xmlns:r="http://schemas.openxmlformats.org/officeDocument/2006/relationships" r:id="rId38"/>
          <a:extLst>
            <a:ext uri="{FF2B5EF4-FFF2-40B4-BE49-F238E27FC236}">
              <a16:creationId xmlns:a16="http://schemas.microsoft.com/office/drawing/2014/main" id="{00000000-0008-0000-0000-0000A8000000}"/>
            </a:ext>
          </a:extLst>
        </xdr:cNvPr>
        <xdr:cNvSpPr txBox="1"/>
      </xdr:nvSpPr>
      <xdr:spPr>
        <a:xfrm>
          <a:off x="111921925" y="7556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http://www.brownandcaldwell.com/Tech_Papers/700.pdf</a:t>
          </a:r>
        </a:p>
      </xdr:txBody>
    </xdr:sp>
    <xdr:clientData/>
  </xdr:twoCellAnchor>
  <xdr:twoCellAnchor>
    <xdr:from>
      <xdr:col>121</xdr:col>
      <xdr:colOff>0</xdr:colOff>
      <xdr:row>7</xdr:row>
      <xdr:rowOff>444500</xdr:rowOff>
    </xdr:from>
    <xdr:to>
      <xdr:col>122</xdr:col>
      <xdr:colOff>0</xdr:colOff>
      <xdr:row>7</xdr:row>
      <xdr:rowOff>685800</xdr:rowOff>
    </xdr:to>
    <xdr:sp macro="" textlink="">
      <xdr:nvSpPr>
        <xdr:cNvPr id="172" name="TextBox 171">
          <a:hlinkClick xmlns:r="http://schemas.openxmlformats.org/officeDocument/2006/relationships" r:id="rId34"/>
          <a:extLst>
            <a:ext uri="{FF2B5EF4-FFF2-40B4-BE49-F238E27FC236}">
              <a16:creationId xmlns:a16="http://schemas.microsoft.com/office/drawing/2014/main" id="{00000000-0008-0000-0000-0000AC000000}"/>
            </a:ext>
          </a:extLst>
        </xdr:cNvPr>
        <xdr:cNvSpPr txBox="1"/>
      </xdr:nvSpPr>
      <xdr:spPr>
        <a:xfrm>
          <a:off x="111925100" y="67437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http://water.epa.gov/type/wetlands/restore/upload/constructed-wetlands-design-manual.pdf</a:t>
          </a:r>
        </a:p>
      </xdr:txBody>
    </xdr:sp>
    <xdr:clientData/>
  </xdr:twoCellAnchor>
  <xdr:twoCellAnchor>
    <xdr:from>
      <xdr:col>121</xdr:col>
      <xdr:colOff>0</xdr:colOff>
      <xdr:row>7</xdr:row>
      <xdr:rowOff>2070100</xdr:rowOff>
    </xdr:from>
    <xdr:to>
      <xdr:col>122</xdr:col>
      <xdr:colOff>0</xdr:colOff>
      <xdr:row>7</xdr:row>
      <xdr:rowOff>2311400</xdr:rowOff>
    </xdr:to>
    <xdr:sp macro="" textlink="">
      <xdr:nvSpPr>
        <xdr:cNvPr id="173" name="TextBox 172">
          <a:hlinkClick xmlns:r="http://schemas.openxmlformats.org/officeDocument/2006/relationships" r:id="rId39"/>
          <a:extLst>
            <a:ext uri="{FF2B5EF4-FFF2-40B4-BE49-F238E27FC236}">
              <a16:creationId xmlns:a16="http://schemas.microsoft.com/office/drawing/2014/main" id="{00000000-0008-0000-0000-0000AD000000}"/>
            </a:ext>
          </a:extLst>
        </xdr:cNvPr>
        <xdr:cNvSpPr txBox="1"/>
      </xdr:nvSpPr>
      <xdr:spPr>
        <a:xfrm>
          <a:off x="111902875" y="8369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http://water.epa.gov/infrastructure/septic/upload/wetlands-subsurface_flow.pdf</a:t>
          </a:r>
        </a:p>
      </xdr:txBody>
    </xdr:sp>
    <xdr:clientData/>
  </xdr:twoCellAnchor>
  <xdr:twoCellAnchor>
    <xdr:from>
      <xdr:col>121</xdr:col>
      <xdr:colOff>0</xdr:colOff>
      <xdr:row>8</xdr:row>
      <xdr:rowOff>2743200</xdr:rowOff>
    </xdr:from>
    <xdr:to>
      <xdr:col>122</xdr:col>
      <xdr:colOff>0</xdr:colOff>
      <xdr:row>8</xdr:row>
      <xdr:rowOff>2984500</xdr:rowOff>
    </xdr:to>
    <xdr:sp macro="" textlink="">
      <xdr:nvSpPr>
        <xdr:cNvPr id="174" name="TextBox 173">
          <a:hlinkClick xmlns:r="http://schemas.openxmlformats.org/officeDocument/2006/relationships" r:id="rId39"/>
          <a:extLst>
            <a:ext uri="{FF2B5EF4-FFF2-40B4-BE49-F238E27FC236}">
              <a16:creationId xmlns:a16="http://schemas.microsoft.com/office/drawing/2014/main" id="{00000000-0008-0000-0000-0000AE000000}"/>
            </a:ext>
          </a:extLst>
        </xdr:cNvPr>
        <xdr:cNvSpPr txBox="1"/>
      </xdr:nvSpPr>
      <xdr:spPr>
        <a:xfrm>
          <a:off x="111950500" y="117348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http://water.epa.gov/infrastructure/septic/upload/wetlands-subsurface_flow.pdf</a:t>
          </a:r>
        </a:p>
      </xdr:txBody>
    </xdr:sp>
    <xdr:clientData/>
  </xdr:twoCellAnchor>
  <xdr:twoCellAnchor>
    <xdr:from>
      <xdr:col>121</xdr:col>
      <xdr:colOff>0</xdr:colOff>
      <xdr:row>23</xdr:row>
      <xdr:rowOff>774700</xdr:rowOff>
    </xdr:from>
    <xdr:to>
      <xdr:col>122</xdr:col>
      <xdr:colOff>0</xdr:colOff>
      <xdr:row>23</xdr:row>
      <xdr:rowOff>1016000</xdr:rowOff>
    </xdr:to>
    <xdr:sp macro="" textlink="">
      <xdr:nvSpPr>
        <xdr:cNvPr id="175" name="TextBox 174">
          <a:hlinkClick xmlns:r="http://schemas.openxmlformats.org/officeDocument/2006/relationships" r:id="rId40"/>
          <a:extLst>
            <a:ext uri="{FF2B5EF4-FFF2-40B4-BE49-F238E27FC236}">
              <a16:creationId xmlns:a16="http://schemas.microsoft.com/office/drawing/2014/main" id="{00000000-0008-0000-0000-0000AF000000}"/>
            </a:ext>
          </a:extLst>
        </xdr:cNvPr>
        <xdr:cNvSpPr txBox="1"/>
      </xdr:nvSpPr>
      <xdr:spPr>
        <a:xfrm>
          <a:off x="111940975" y="326517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23</xdr:row>
      <xdr:rowOff>1422400</xdr:rowOff>
    </xdr:from>
    <xdr:to>
      <xdr:col>122</xdr:col>
      <xdr:colOff>0</xdr:colOff>
      <xdr:row>23</xdr:row>
      <xdr:rowOff>1663700</xdr:rowOff>
    </xdr:to>
    <xdr:sp macro="" textlink="">
      <xdr:nvSpPr>
        <xdr:cNvPr id="177" name="TextBox 176">
          <a:hlinkClick xmlns:r="http://schemas.openxmlformats.org/officeDocument/2006/relationships" r:id="rId40"/>
          <a:extLst>
            <a:ext uri="{FF2B5EF4-FFF2-40B4-BE49-F238E27FC236}">
              <a16:creationId xmlns:a16="http://schemas.microsoft.com/office/drawing/2014/main" id="{00000000-0008-0000-0000-0000B1000000}"/>
            </a:ext>
          </a:extLst>
        </xdr:cNvPr>
        <xdr:cNvSpPr txBox="1"/>
      </xdr:nvSpPr>
      <xdr:spPr>
        <a:xfrm>
          <a:off x="111912400" y="332994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23</xdr:row>
      <xdr:rowOff>92075</xdr:rowOff>
    </xdr:from>
    <xdr:to>
      <xdr:col>122</xdr:col>
      <xdr:colOff>0</xdr:colOff>
      <xdr:row>23</xdr:row>
      <xdr:rowOff>333375</xdr:rowOff>
    </xdr:to>
    <xdr:sp macro="" textlink="">
      <xdr:nvSpPr>
        <xdr:cNvPr id="179" name="TextBox 178">
          <a:hlinkClick xmlns:r="http://schemas.openxmlformats.org/officeDocument/2006/relationships" r:id="rId41"/>
          <a:extLst>
            <a:ext uri="{FF2B5EF4-FFF2-40B4-BE49-F238E27FC236}">
              <a16:creationId xmlns:a16="http://schemas.microsoft.com/office/drawing/2014/main" id="{00000000-0008-0000-0000-0000B3000000}"/>
            </a:ext>
          </a:extLst>
        </xdr:cNvPr>
        <xdr:cNvSpPr txBox="1"/>
      </xdr:nvSpPr>
      <xdr:spPr>
        <a:xfrm>
          <a:off x="111486950" y="319214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http://www.auburn.edu/~wcw0003/products/publications/carmichael-rh-w-walton--h.html</a:t>
          </a:r>
        </a:p>
      </xdr:txBody>
    </xdr:sp>
    <xdr:clientData/>
  </xdr:twoCellAnchor>
  <xdr:twoCellAnchor>
    <xdr:from>
      <xdr:col>121</xdr:col>
      <xdr:colOff>0</xdr:colOff>
      <xdr:row>23</xdr:row>
      <xdr:rowOff>2073275</xdr:rowOff>
    </xdr:from>
    <xdr:to>
      <xdr:col>122</xdr:col>
      <xdr:colOff>0</xdr:colOff>
      <xdr:row>23</xdr:row>
      <xdr:rowOff>2314575</xdr:rowOff>
    </xdr:to>
    <xdr:sp macro="" textlink="">
      <xdr:nvSpPr>
        <xdr:cNvPr id="180" name="TextBox 179">
          <a:hlinkClick xmlns:r="http://schemas.openxmlformats.org/officeDocument/2006/relationships" r:id="rId42"/>
          <a:extLst>
            <a:ext uri="{FF2B5EF4-FFF2-40B4-BE49-F238E27FC236}">
              <a16:creationId xmlns:a16="http://schemas.microsoft.com/office/drawing/2014/main" id="{00000000-0008-0000-0000-0000B4000000}"/>
            </a:ext>
          </a:extLst>
        </xdr:cNvPr>
        <xdr:cNvSpPr txBox="1"/>
      </xdr:nvSpPr>
      <xdr:spPr>
        <a:xfrm>
          <a:off x="111848900" y="339502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http://bayareamonitor.org/index.php?option=com_content&amp;view=article&amp;id=366&amp;Itemid=66</a:t>
          </a:r>
        </a:p>
      </xdr:txBody>
    </xdr:sp>
    <xdr:clientData/>
  </xdr:twoCellAnchor>
  <xdr:twoCellAnchor>
    <xdr:from>
      <xdr:col>121</xdr:col>
      <xdr:colOff>0</xdr:colOff>
      <xdr:row>24</xdr:row>
      <xdr:rowOff>762000</xdr:rowOff>
    </xdr:from>
    <xdr:to>
      <xdr:col>122</xdr:col>
      <xdr:colOff>0</xdr:colOff>
      <xdr:row>24</xdr:row>
      <xdr:rowOff>1003300</xdr:rowOff>
    </xdr:to>
    <xdr:sp macro="" textlink="">
      <xdr:nvSpPr>
        <xdr:cNvPr id="181" name="TextBox 180">
          <a:hlinkClick xmlns:r="http://schemas.openxmlformats.org/officeDocument/2006/relationships" r:id="rId40"/>
          <a:extLst>
            <a:ext uri="{FF2B5EF4-FFF2-40B4-BE49-F238E27FC236}">
              <a16:creationId xmlns:a16="http://schemas.microsoft.com/office/drawing/2014/main" id="{00000000-0008-0000-0000-0000B5000000}"/>
            </a:ext>
          </a:extLst>
        </xdr:cNvPr>
        <xdr:cNvSpPr txBox="1"/>
      </xdr:nvSpPr>
      <xdr:spPr>
        <a:xfrm>
          <a:off x="111940975" y="370459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24</xdr:row>
      <xdr:rowOff>1422400</xdr:rowOff>
    </xdr:from>
    <xdr:to>
      <xdr:col>122</xdr:col>
      <xdr:colOff>0</xdr:colOff>
      <xdr:row>24</xdr:row>
      <xdr:rowOff>1663700</xdr:rowOff>
    </xdr:to>
    <xdr:sp macro="" textlink="">
      <xdr:nvSpPr>
        <xdr:cNvPr id="183" name="TextBox 182">
          <a:hlinkClick xmlns:r="http://schemas.openxmlformats.org/officeDocument/2006/relationships" r:id="rId40"/>
          <a:extLst>
            <a:ext uri="{FF2B5EF4-FFF2-40B4-BE49-F238E27FC236}">
              <a16:creationId xmlns:a16="http://schemas.microsoft.com/office/drawing/2014/main" id="{00000000-0008-0000-0000-0000B7000000}"/>
            </a:ext>
          </a:extLst>
        </xdr:cNvPr>
        <xdr:cNvSpPr txBox="1"/>
      </xdr:nvSpPr>
      <xdr:spPr>
        <a:xfrm>
          <a:off x="111912400" y="37706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24</xdr:row>
      <xdr:rowOff>92075</xdr:rowOff>
    </xdr:from>
    <xdr:to>
      <xdr:col>122</xdr:col>
      <xdr:colOff>0</xdr:colOff>
      <xdr:row>24</xdr:row>
      <xdr:rowOff>333375</xdr:rowOff>
    </xdr:to>
    <xdr:sp macro="" textlink="">
      <xdr:nvSpPr>
        <xdr:cNvPr id="185" name="TextBox 184">
          <a:hlinkClick xmlns:r="http://schemas.openxmlformats.org/officeDocument/2006/relationships" r:id="rId41"/>
          <a:extLst>
            <a:ext uri="{FF2B5EF4-FFF2-40B4-BE49-F238E27FC236}">
              <a16:creationId xmlns:a16="http://schemas.microsoft.com/office/drawing/2014/main" id="{00000000-0008-0000-0000-0000B9000000}"/>
            </a:ext>
          </a:extLst>
        </xdr:cNvPr>
        <xdr:cNvSpPr txBox="1"/>
      </xdr:nvSpPr>
      <xdr:spPr>
        <a:xfrm>
          <a:off x="111486950" y="319214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http://www.auburn.edu/~wcw0003/products/publications/carmichael-rh-w-walton--h.html</a:t>
          </a:r>
        </a:p>
      </xdr:txBody>
    </xdr:sp>
    <xdr:clientData/>
  </xdr:twoCellAnchor>
  <xdr:twoCellAnchor>
    <xdr:from>
      <xdr:col>121</xdr:col>
      <xdr:colOff>0</xdr:colOff>
      <xdr:row>24</xdr:row>
      <xdr:rowOff>2085975</xdr:rowOff>
    </xdr:from>
    <xdr:to>
      <xdr:col>122</xdr:col>
      <xdr:colOff>0</xdr:colOff>
      <xdr:row>24</xdr:row>
      <xdr:rowOff>2327275</xdr:rowOff>
    </xdr:to>
    <xdr:sp macro="" textlink="">
      <xdr:nvSpPr>
        <xdr:cNvPr id="186" name="TextBox 185">
          <a:hlinkClick xmlns:r="http://schemas.openxmlformats.org/officeDocument/2006/relationships" r:id="rId42"/>
          <a:extLst>
            <a:ext uri="{FF2B5EF4-FFF2-40B4-BE49-F238E27FC236}">
              <a16:creationId xmlns:a16="http://schemas.microsoft.com/office/drawing/2014/main" id="{00000000-0008-0000-0000-0000BA000000}"/>
            </a:ext>
          </a:extLst>
        </xdr:cNvPr>
        <xdr:cNvSpPr txBox="1"/>
      </xdr:nvSpPr>
      <xdr:spPr>
        <a:xfrm>
          <a:off x="111848900" y="383698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http://bayareamonitor.org/index.php?option=com_content&amp;view=article&amp;id=366&amp;Itemid=66</a:t>
          </a:r>
        </a:p>
      </xdr:txBody>
    </xdr:sp>
    <xdr:clientData/>
  </xdr:twoCellAnchor>
  <xdr:twoCellAnchor>
    <xdr:from>
      <xdr:col>121</xdr:col>
      <xdr:colOff>0</xdr:colOff>
      <xdr:row>26</xdr:row>
      <xdr:rowOff>762000</xdr:rowOff>
    </xdr:from>
    <xdr:to>
      <xdr:col>122</xdr:col>
      <xdr:colOff>0</xdr:colOff>
      <xdr:row>26</xdr:row>
      <xdr:rowOff>1003300</xdr:rowOff>
    </xdr:to>
    <xdr:sp macro="" textlink="">
      <xdr:nvSpPr>
        <xdr:cNvPr id="187" name="TextBox 186">
          <a:hlinkClick xmlns:r="http://schemas.openxmlformats.org/officeDocument/2006/relationships" r:id="rId40"/>
          <a:extLst>
            <a:ext uri="{FF2B5EF4-FFF2-40B4-BE49-F238E27FC236}">
              <a16:creationId xmlns:a16="http://schemas.microsoft.com/office/drawing/2014/main" id="{00000000-0008-0000-0000-0000BB000000}"/>
            </a:ext>
          </a:extLst>
        </xdr:cNvPr>
        <xdr:cNvSpPr txBox="1"/>
      </xdr:nvSpPr>
      <xdr:spPr>
        <a:xfrm>
          <a:off x="111940975" y="414274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26</xdr:row>
      <xdr:rowOff>1409700</xdr:rowOff>
    </xdr:from>
    <xdr:to>
      <xdr:col>122</xdr:col>
      <xdr:colOff>0</xdr:colOff>
      <xdr:row>26</xdr:row>
      <xdr:rowOff>1651000</xdr:rowOff>
    </xdr:to>
    <xdr:sp macro="" textlink="">
      <xdr:nvSpPr>
        <xdr:cNvPr id="189" name="TextBox 188">
          <a:hlinkClick xmlns:r="http://schemas.openxmlformats.org/officeDocument/2006/relationships" r:id="rId40"/>
          <a:extLst>
            <a:ext uri="{FF2B5EF4-FFF2-40B4-BE49-F238E27FC236}">
              <a16:creationId xmlns:a16="http://schemas.microsoft.com/office/drawing/2014/main" id="{00000000-0008-0000-0000-0000BD000000}"/>
            </a:ext>
          </a:extLst>
        </xdr:cNvPr>
        <xdr:cNvSpPr txBox="1"/>
      </xdr:nvSpPr>
      <xdr:spPr>
        <a:xfrm>
          <a:off x="111912400" y="42075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26</xdr:row>
      <xdr:rowOff>92075</xdr:rowOff>
    </xdr:from>
    <xdr:to>
      <xdr:col>122</xdr:col>
      <xdr:colOff>0</xdr:colOff>
      <xdr:row>26</xdr:row>
      <xdr:rowOff>333375</xdr:rowOff>
    </xdr:to>
    <xdr:sp macro="" textlink="">
      <xdr:nvSpPr>
        <xdr:cNvPr id="191" name="TextBox 190">
          <a:hlinkClick xmlns:r="http://schemas.openxmlformats.org/officeDocument/2006/relationships" r:id="rId41"/>
          <a:extLst>
            <a:ext uri="{FF2B5EF4-FFF2-40B4-BE49-F238E27FC236}">
              <a16:creationId xmlns:a16="http://schemas.microsoft.com/office/drawing/2014/main" id="{00000000-0008-0000-0000-0000BF000000}"/>
            </a:ext>
          </a:extLst>
        </xdr:cNvPr>
        <xdr:cNvSpPr txBox="1"/>
      </xdr:nvSpPr>
      <xdr:spPr>
        <a:xfrm>
          <a:off x="111486950" y="319214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http://www.auburn.edu/~wcw0003/products/publications/carmichael-rh-w-walton--h.html</a:t>
          </a:r>
        </a:p>
      </xdr:txBody>
    </xdr:sp>
    <xdr:clientData/>
  </xdr:twoCellAnchor>
  <xdr:twoCellAnchor>
    <xdr:from>
      <xdr:col>121</xdr:col>
      <xdr:colOff>0</xdr:colOff>
      <xdr:row>26</xdr:row>
      <xdr:rowOff>2085975</xdr:rowOff>
    </xdr:from>
    <xdr:to>
      <xdr:col>122</xdr:col>
      <xdr:colOff>0</xdr:colOff>
      <xdr:row>26</xdr:row>
      <xdr:rowOff>2327275</xdr:rowOff>
    </xdr:to>
    <xdr:sp macro="" textlink="">
      <xdr:nvSpPr>
        <xdr:cNvPr id="192" name="TextBox 191">
          <a:hlinkClick xmlns:r="http://schemas.openxmlformats.org/officeDocument/2006/relationships" r:id="rId42"/>
          <a:extLst>
            <a:ext uri="{FF2B5EF4-FFF2-40B4-BE49-F238E27FC236}">
              <a16:creationId xmlns:a16="http://schemas.microsoft.com/office/drawing/2014/main" id="{00000000-0008-0000-0000-0000C0000000}"/>
            </a:ext>
          </a:extLst>
        </xdr:cNvPr>
        <xdr:cNvSpPr txBox="1"/>
      </xdr:nvSpPr>
      <xdr:spPr>
        <a:xfrm>
          <a:off x="111848900" y="428656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http://bayareamonitor.org/index.php?option=com_content&amp;view=article&amp;id=366&amp;Itemid=66</a:t>
          </a:r>
        </a:p>
      </xdr:txBody>
    </xdr:sp>
    <xdr:clientData/>
  </xdr:twoCellAnchor>
  <xdr:twoCellAnchor>
    <xdr:from>
      <xdr:col>121</xdr:col>
      <xdr:colOff>0</xdr:colOff>
      <xdr:row>48</xdr:row>
      <xdr:rowOff>101600</xdr:rowOff>
    </xdr:from>
    <xdr:to>
      <xdr:col>122</xdr:col>
      <xdr:colOff>0</xdr:colOff>
      <xdr:row>48</xdr:row>
      <xdr:rowOff>342900</xdr:rowOff>
    </xdr:to>
    <xdr:sp macro="" textlink="">
      <xdr:nvSpPr>
        <xdr:cNvPr id="194" name="TextBox 193">
          <a:hlinkClick xmlns:r="http://schemas.openxmlformats.org/officeDocument/2006/relationships" r:id="rId9"/>
          <a:extLst>
            <a:ext uri="{FF2B5EF4-FFF2-40B4-BE49-F238E27FC236}">
              <a16:creationId xmlns:a16="http://schemas.microsoft.com/office/drawing/2014/main" id="{00000000-0008-0000-0000-0000C2000000}"/>
            </a:ext>
          </a:extLst>
        </xdr:cNvPr>
        <xdr:cNvSpPr txBox="1"/>
      </xdr:nvSpPr>
      <xdr:spPr>
        <a:xfrm>
          <a:off x="111836200" y="966470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http://www.medoraco.com/</a:t>
          </a:r>
        </a:p>
      </xdr:txBody>
    </xdr:sp>
    <xdr:clientData/>
  </xdr:twoCellAnchor>
  <xdr:twoCellAnchor>
    <xdr:from>
      <xdr:col>121</xdr:col>
      <xdr:colOff>0</xdr:colOff>
      <xdr:row>17</xdr:row>
      <xdr:rowOff>101600</xdr:rowOff>
    </xdr:from>
    <xdr:to>
      <xdr:col>122</xdr:col>
      <xdr:colOff>0</xdr:colOff>
      <xdr:row>17</xdr:row>
      <xdr:rowOff>342900</xdr:rowOff>
    </xdr:to>
    <xdr:sp macro="" textlink="">
      <xdr:nvSpPr>
        <xdr:cNvPr id="195" name="TextBox 194">
          <a:hlinkClick xmlns:r="http://schemas.openxmlformats.org/officeDocument/2006/relationships" r:id="rId1"/>
          <a:extLst>
            <a:ext uri="{FF2B5EF4-FFF2-40B4-BE49-F238E27FC236}">
              <a16:creationId xmlns:a16="http://schemas.microsoft.com/office/drawing/2014/main" id="{00000000-0008-0000-0000-0000C3000000}"/>
            </a:ext>
          </a:extLst>
        </xdr:cNvPr>
        <xdr:cNvSpPr txBox="1"/>
      </xdr:nvSpPr>
      <xdr:spPr>
        <a:xfrm>
          <a:off x="111874300" y="264287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http://www.unh.edu/unhsc/sites/unh.edu.unhsc/files/asce_jee_maintenance.pdf </a:t>
          </a:r>
        </a:p>
      </xdr:txBody>
    </xdr:sp>
    <xdr:clientData/>
  </xdr:twoCellAnchor>
  <xdr:twoCellAnchor>
    <xdr:from>
      <xdr:col>121</xdr:col>
      <xdr:colOff>0</xdr:colOff>
      <xdr:row>17</xdr:row>
      <xdr:rowOff>431800</xdr:rowOff>
    </xdr:from>
    <xdr:to>
      <xdr:col>122</xdr:col>
      <xdr:colOff>0</xdr:colOff>
      <xdr:row>17</xdr:row>
      <xdr:rowOff>673100</xdr:rowOff>
    </xdr:to>
    <xdr:sp macro="" textlink="">
      <xdr:nvSpPr>
        <xdr:cNvPr id="196" name="TextBox 195">
          <a:hlinkClick xmlns:r="http://schemas.openxmlformats.org/officeDocument/2006/relationships" r:id="rId1"/>
          <a:extLst>
            <a:ext uri="{FF2B5EF4-FFF2-40B4-BE49-F238E27FC236}">
              <a16:creationId xmlns:a16="http://schemas.microsoft.com/office/drawing/2014/main" id="{00000000-0008-0000-0000-0000C4000000}"/>
            </a:ext>
          </a:extLst>
        </xdr:cNvPr>
        <xdr:cNvSpPr txBox="1"/>
      </xdr:nvSpPr>
      <xdr:spPr>
        <a:xfrm>
          <a:off x="111887000" y="267589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http://www.unh.edu/unhsc/sites/unh.edu.unhsc/files/docs/UNHSC.2012Report.10.10.12.pdf</a:t>
          </a:r>
        </a:p>
      </xdr:txBody>
    </xdr:sp>
    <xdr:clientData/>
  </xdr:twoCellAnchor>
  <xdr:twoCellAnchor>
    <xdr:from>
      <xdr:col>121</xdr:col>
      <xdr:colOff>0</xdr:colOff>
      <xdr:row>17</xdr:row>
      <xdr:rowOff>1739900</xdr:rowOff>
    </xdr:from>
    <xdr:to>
      <xdr:col>122</xdr:col>
      <xdr:colOff>0</xdr:colOff>
      <xdr:row>17</xdr:row>
      <xdr:rowOff>1981200</xdr:rowOff>
    </xdr:to>
    <xdr:sp macro="" textlink="">
      <xdr:nvSpPr>
        <xdr:cNvPr id="197" name="TextBox 196">
          <a:hlinkClick xmlns:r="http://schemas.openxmlformats.org/officeDocument/2006/relationships" r:id="rId1"/>
          <a:extLst>
            <a:ext uri="{FF2B5EF4-FFF2-40B4-BE49-F238E27FC236}">
              <a16:creationId xmlns:a16="http://schemas.microsoft.com/office/drawing/2014/main" id="{00000000-0008-0000-0000-0000C5000000}"/>
            </a:ext>
          </a:extLst>
        </xdr:cNvPr>
        <xdr:cNvSpPr txBox="1"/>
      </xdr:nvSpPr>
      <xdr:spPr>
        <a:xfrm>
          <a:off x="111899700" y="280670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http://www.environment.fhwa.dot.gov/(S(kmqmwz45xwbdsd2xihcmnifc))/ecosystems/ultraurb/3fs11.asp </a:t>
          </a:r>
        </a:p>
      </xdr:txBody>
    </xdr:sp>
    <xdr:clientData/>
  </xdr:twoCellAnchor>
  <xdr:twoCellAnchor>
    <xdr:from>
      <xdr:col>121</xdr:col>
      <xdr:colOff>0</xdr:colOff>
      <xdr:row>17</xdr:row>
      <xdr:rowOff>1270000</xdr:rowOff>
    </xdr:from>
    <xdr:to>
      <xdr:col>122</xdr:col>
      <xdr:colOff>0</xdr:colOff>
      <xdr:row>17</xdr:row>
      <xdr:rowOff>1511300</xdr:rowOff>
    </xdr:to>
    <xdr:sp macro="" textlink="">
      <xdr:nvSpPr>
        <xdr:cNvPr id="198" name="TextBox 197">
          <a:hlinkClick xmlns:r="http://schemas.openxmlformats.org/officeDocument/2006/relationships" r:id="rId1"/>
          <a:extLst>
            <a:ext uri="{FF2B5EF4-FFF2-40B4-BE49-F238E27FC236}">
              <a16:creationId xmlns:a16="http://schemas.microsoft.com/office/drawing/2014/main" id="{00000000-0008-0000-0000-0000C6000000}"/>
            </a:ext>
          </a:extLst>
        </xdr:cNvPr>
        <xdr:cNvSpPr txBox="1"/>
      </xdr:nvSpPr>
      <xdr:spPr>
        <a:xfrm>
          <a:off x="111899700" y="27597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http://www.academic.research.microsoft.com/Paper/2943904.aspx</a:t>
          </a:r>
        </a:p>
      </xdr:txBody>
    </xdr:sp>
    <xdr:clientData/>
  </xdr:twoCellAnchor>
  <xdr:twoCellAnchor>
    <xdr:from>
      <xdr:col>121</xdr:col>
      <xdr:colOff>0</xdr:colOff>
      <xdr:row>17</xdr:row>
      <xdr:rowOff>762000</xdr:rowOff>
    </xdr:from>
    <xdr:to>
      <xdr:col>122</xdr:col>
      <xdr:colOff>0</xdr:colOff>
      <xdr:row>17</xdr:row>
      <xdr:rowOff>1003300</xdr:rowOff>
    </xdr:to>
    <xdr:sp macro="" textlink="">
      <xdr:nvSpPr>
        <xdr:cNvPr id="199" name="TextBox 198">
          <a:hlinkClick xmlns:r="http://schemas.openxmlformats.org/officeDocument/2006/relationships" r:id="rId1"/>
          <a:extLst>
            <a:ext uri="{FF2B5EF4-FFF2-40B4-BE49-F238E27FC236}">
              <a16:creationId xmlns:a16="http://schemas.microsoft.com/office/drawing/2014/main" id="{00000000-0008-0000-0000-0000C7000000}"/>
            </a:ext>
          </a:extLst>
        </xdr:cNvPr>
        <xdr:cNvSpPr txBox="1"/>
      </xdr:nvSpPr>
      <xdr:spPr>
        <a:xfrm>
          <a:off x="111912400" y="27089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http://www.unh.edu/unhsc/sites/unh.edu.unhsc/files/pubs_specs_info/2009_unhsc_report.pdf </a:t>
          </a:r>
        </a:p>
      </xdr:txBody>
    </xdr:sp>
    <xdr:clientData/>
  </xdr:twoCellAnchor>
  <xdr:twoCellAnchor>
    <xdr:from>
      <xdr:col>121</xdr:col>
      <xdr:colOff>0</xdr:colOff>
      <xdr:row>17</xdr:row>
      <xdr:rowOff>2413000</xdr:rowOff>
    </xdr:from>
    <xdr:to>
      <xdr:col>122</xdr:col>
      <xdr:colOff>0</xdr:colOff>
      <xdr:row>17</xdr:row>
      <xdr:rowOff>2654300</xdr:rowOff>
    </xdr:to>
    <xdr:sp macro="" textlink="">
      <xdr:nvSpPr>
        <xdr:cNvPr id="200" name="TextBox 199">
          <a:hlinkClick xmlns:r="http://schemas.openxmlformats.org/officeDocument/2006/relationships" r:id="rId1"/>
          <a:extLst>
            <a:ext uri="{FF2B5EF4-FFF2-40B4-BE49-F238E27FC236}">
              <a16:creationId xmlns:a16="http://schemas.microsoft.com/office/drawing/2014/main" id="{00000000-0008-0000-0000-0000C8000000}"/>
            </a:ext>
          </a:extLst>
        </xdr:cNvPr>
        <xdr:cNvSpPr txBox="1"/>
      </xdr:nvSpPr>
      <xdr:spPr>
        <a:xfrm>
          <a:off x="111925100" y="28740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http://water.epa.gov/scitech/wastetech/upload/2002_06_28_mtb_biortn.pdf</a:t>
          </a:r>
        </a:p>
      </xdr:txBody>
    </xdr:sp>
    <xdr:clientData/>
  </xdr:twoCellAnchor>
  <xdr:twoCellAnchor>
    <xdr:from>
      <xdr:col>121</xdr:col>
      <xdr:colOff>0</xdr:colOff>
      <xdr:row>17</xdr:row>
      <xdr:rowOff>2095500</xdr:rowOff>
    </xdr:from>
    <xdr:to>
      <xdr:col>122</xdr:col>
      <xdr:colOff>0</xdr:colOff>
      <xdr:row>17</xdr:row>
      <xdr:rowOff>2336800</xdr:rowOff>
    </xdr:to>
    <xdr:sp macro="" textlink="">
      <xdr:nvSpPr>
        <xdr:cNvPr id="201" name="TextBox 200">
          <a:hlinkClick xmlns:r="http://schemas.openxmlformats.org/officeDocument/2006/relationships" r:id="rId1"/>
          <a:extLst>
            <a:ext uri="{FF2B5EF4-FFF2-40B4-BE49-F238E27FC236}">
              <a16:creationId xmlns:a16="http://schemas.microsoft.com/office/drawing/2014/main" id="{00000000-0008-0000-0000-0000C9000000}"/>
            </a:ext>
          </a:extLst>
        </xdr:cNvPr>
        <xdr:cNvSpPr txBox="1"/>
      </xdr:nvSpPr>
      <xdr:spPr>
        <a:xfrm>
          <a:off x="111899700" y="284226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http://www.watershedmanagement.vt.gov/stormwater/docs/manualrevision/sw_Fact_Sheet_Enhanced_Nutrient_Removal.pdf</a:t>
          </a:r>
        </a:p>
      </xdr:txBody>
    </xdr:sp>
    <xdr:clientData/>
  </xdr:twoCellAnchor>
  <xdr:twoCellAnchor>
    <xdr:from>
      <xdr:col>121</xdr:col>
      <xdr:colOff>0</xdr:colOff>
      <xdr:row>24</xdr:row>
      <xdr:rowOff>3759200</xdr:rowOff>
    </xdr:from>
    <xdr:to>
      <xdr:col>122</xdr:col>
      <xdr:colOff>0</xdr:colOff>
      <xdr:row>24</xdr:row>
      <xdr:rowOff>4000500</xdr:rowOff>
    </xdr:to>
    <xdr:sp macro="" textlink="">
      <xdr:nvSpPr>
        <xdr:cNvPr id="202" name="TextBox 201">
          <a:hlinkClick xmlns:r="http://schemas.openxmlformats.org/officeDocument/2006/relationships" r:id="rId43"/>
          <a:extLst>
            <a:ext uri="{FF2B5EF4-FFF2-40B4-BE49-F238E27FC236}">
              <a16:creationId xmlns:a16="http://schemas.microsoft.com/office/drawing/2014/main" id="{00000000-0008-0000-0000-0000CA000000}"/>
            </a:ext>
          </a:extLst>
        </xdr:cNvPr>
        <xdr:cNvSpPr txBox="1"/>
      </xdr:nvSpPr>
      <xdr:spPr>
        <a:xfrm>
          <a:off x="111925100" y="401574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http://www.fao.org/docrep/007/y5720e/y5720e02.htm#TopOfPage</a:t>
          </a:r>
        </a:p>
      </xdr:txBody>
    </xdr:sp>
    <xdr:clientData/>
  </xdr:twoCellAnchor>
  <xdr:twoCellAnchor>
    <xdr:from>
      <xdr:col>121</xdr:col>
      <xdr:colOff>0</xdr:colOff>
      <xdr:row>24</xdr:row>
      <xdr:rowOff>3403600</xdr:rowOff>
    </xdr:from>
    <xdr:to>
      <xdr:col>122</xdr:col>
      <xdr:colOff>0</xdr:colOff>
      <xdr:row>24</xdr:row>
      <xdr:rowOff>3644900</xdr:rowOff>
    </xdr:to>
    <xdr:sp macro="" textlink="">
      <xdr:nvSpPr>
        <xdr:cNvPr id="203" name="TextBox 202">
          <a:hlinkClick xmlns:r="http://schemas.openxmlformats.org/officeDocument/2006/relationships" r:id="rId43"/>
          <a:extLst>
            <a:ext uri="{FF2B5EF4-FFF2-40B4-BE49-F238E27FC236}">
              <a16:creationId xmlns:a16="http://schemas.microsoft.com/office/drawing/2014/main" id="{00000000-0008-0000-0000-0000CB000000}"/>
            </a:ext>
          </a:extLst>
        </xdr:cNvPr>
        <xdr:cNvSpPr txBox="1"/>
      </xdr:nvSpPr>
      <xdr:spPr>
        <a:xfrm>
          <a:off x="111937800" y="398018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http://www.oysterranching.com/background.html</a:t>
          </a:r>
        </a:p>
      </xdr:txBody>
    </xdr:sp>
    <xdr:clientData/>
  </xdr:twoCellAnchor>
  <xdr:twoCellAnchor>
    <xdr:from>
      <xdr:col>121</xdr:col>
      <xdr:colOff>0</xdr:colOff>
      <xdr:row>39</xdr:row>
      <xdr:rowOff>1092200</xdr:rowOff>
    </xdr:from>
    <xdr:to>
      <xdr:col>122</xdr:col>
      <xdr:colOff>0</xdr:colOff>
      <xdr:row>39</xdr:row>
      <xdr:rowOff>1333500</xdr:rowOff>
    </xdr:to>
    <xdr:sp macro="" textlink="">
      <xdr:nvSpPr>
        <xdr:cNvPr id="193" name="TextBox 192">
          <a:hlinkClick xmlns:r="http://schemas.openxmlformats.org/officeDocument/2006/relationships" r:id="rId44"/>
          <a:extLst>
            <a:ext uri="{FF2B5EF4-FFF2-40B4-BE49-F238E27FC236}">
              <a16:creationId xmlns:a16="http://schemas.microsoft.com/office/drawing/2014/main" id="{00000000-0008-0000-0000-0000C1000000}"/>
            </a:ext>
          </a:extLst>
        </xdr:cNvPr>
        <xdr:cNvSpPr txBox="1"/>
      </xdr:nvSpPr>
      <xdr:spPr>
        <a:xfrm>
          <a:off x="111899700" y="701548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http://www.3bays.org/pdfs/reports/2003-ThesisLisabethWhite.pdf..pdf</a:t>
          </a:r>
        </a:p>
      </xdr:txBody>
    </xdr:sp>
    <xdr:clientData/>
  </xdr:twoCellAnchor>
  <xdr:twoCellAnchor>
    <xdr:from>
      <xdr:col>121</xdr:col>
      <xdr:colOff>0</xdr:colOff>
      <xdr:row>6</xdr:row>
      <xdr:rowOff>2578100</xdr:rowOff>
    </xdr:from>
    <xdr:to>
      <xdr:col>122</xdr:col>
      <xdr:colOff>0</xdr:colOff>
      <xdr:row>6</xdr:row>
      <xdr:rowOff>2819400</xdr:rowOff>
    </xdr:to>
    <xdr:sp macro="" textlink="">
      <xdr:nvSpPr>
        <xdr:cNvPr id="204" name="TextBox 203">
          <a:hlinkClick xmlns:r="http://schemas.openxmlformats.org/officeDocument/2006/relationships" r:id="rId36"/>
          <a:extLst>
            <a:ext uri="{FF2B5EF4-FFF2-40B4-BE49-F238E27FC236}">
              <a16:creationId xmlns:a16="http://schemas.microsoft.com/office/drawing/2014/main" id="{00000000-0008-0000-0000-0000CC000000}"/>
            </a:ext>
          </a:extLst>
        </xdr:cNvPr>
        <xdr:cNvSpPr txBox="1"/>
      </xdr:nvSpPr>
      <xdr:spPr>
        <a:xfrm>
          <a:off x="111925100" y="44450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http://water.epa.gov/scitech/wastetech/upload/2002_06_28_mtb_wetlands-subsurface_flow.pdf</a:t>
          </a:r>
        </a:p>
      </xdr:txBody>
    </xdr:sp>
    <xdr:clientData/>
  </xdr:twoCellAnchor>
  <xdr:twoCellAnchor editAs="oneCell">
    <xdr:from>
      <xdr:col>2</xdr:col>
      <xdr:colOff>152399</xdr:colOff>
      <xdr:row>59</xdr:row>
      <xdr:rowOff>600074</xdr:rowOff>
    </xdr:from>
    <xdr:to>
      <xdr:col>2</xdr:col>
      <xdr:colOff>1066799</xdr:colOff>
      <xdr:row>59</xdr:row>
      <xdr:rowOff>1523999</xdr:rowOff>
    </xdr:to>
    <xdr:pic>
      <xdr:nvPicPr>
        <xdr:cNvPr id="70" name="Picture 69">
          <a:extLst>
            <a:ext uri="{FF2B5EF4-FFF2-40B4-BE49-F238E27FC236}">
              <a16:creationId xmlns:a16="http://schemas.microsoft.com/office/drawing/2014/main" id="{00000000-0008-0000-0000-00004600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2565399" y="130381374"/>
          <a:ext cx="914400" cy="923925"/>
        </a:xfrm>
        <a:prstGeom prst="rect">
          <a:avLst/>
        </a:prstGeom>
      </xdr:spPr>
    </xdr:pic>
    <xdr:clientData/>
  </xdr:twoCellAnchor>
  <xdr:twoCellAnchor editAs="oneCell">
    <xdr:from>
      <xdr:col>2</xdr:col>
      <xdr:colOff>152399</xdr:colOff>
      <xdr:row>60</xdr:row>
      <xdr:rowOff>942974</xdr:rowOff>
    </xdr:from>
    <xdr:to>
      <xdr:col>2</xdr:col>
      <xdr:colOff>1066799</xdr:colOff>
      <xdr:row>60</xdr:row>
      <xdr:rowOff>1866899</xdr:rowOff>
    </xdr:to>
    <xdr:pic>
      <xdr:nvPicPr>
        <xdr:cNvPr id="217" name="Picture 216">
          <a:extLst>
            <a:ext uri="{FF2B5EF4-FFF2-40B4-BE49-F238E27FC236}">
              <a16:creationId xmlns:a16="http://schemas.microsoft.com/office/drawing/2014/main" id="{00000000-0008-0000-0000-0000D900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2565399" y="132819774"/>
          <a:ext cx="914400" cy="923925"/>
        </a:xfrm>
        <a:prstGeom prst="rect">
          <a:avLst/>
        </a:prstGeom>
      </xdr:spPr>
    </xdr:pic>
    <xdr:clientData/>
  </xdr:twoCellAnchor>
  <xdr:twoCellAnchor editAs="oneCell">
    <xdr:from>
      <xdr:col>2</xdr:col>
      <xdr:colOff>152399</xdr:colOff>
      <xdr:row>58</xdr:row>
      <xdr:rowOff>660399</xdr:rowOff>
    </xdr:from>
    <xdr:to>
      <xdr:col>2</xdr:col>
      <xdr:colOff>1066799</xdr:colOff>
      <xdr:row>58</xdr:row>
      <xdr:rowOff>1574799</xdr:rowOff>
    </xdr:to>
    <xdr:pic>
      <xdr:nvPicPr>
        <xdr:cNvPr id="71" name="Picture 70">
          <a:extLst>
            <a:ext uri="{FF2B5EF4-FFF2-40B4-BE49-F238E27FC236}">
              <a16:creationId xmlns:a16="http://schemas.microsoft.com/office/drawing/2014/main" id="{00000000-0008-0000-0000-000047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2565399" y="128282699"/>
          <a:ext cx="914400" cy="914400"/>
        </a:xfrm>
        <a:prstGeom prst="rect">
          <a:avLst/>
        </a:prstGeom>
      </xdr:spPr>
    </xdr:pic>
    <xdr:clientData/>
  </xdr:twoCellAnchor>
  <xdr:twoCellAnchor editAs="oneCell">
    <xdr:from>
      <xdr:col>2</xdr:col>
      <xdr:colOff>139699</xdr:colOff>
      <xdr:row>57</xdr:row>
      <xdr:rowOff>1269999</xdr:rowOff>
    </xdr:from>
    <xdr:to>
      <xdr:col>2</xdr:col>
      <xdr:colOff>1054099</xdr:colOff>
      <xdr:row>57</xdr:row>
      <xdr:rowOff>2184399</xdr:rowOff>
    </xdr:to>
    <xdr:pic>
      <xdr:nvPicPr>
        <xdr:cNvPr id="72" name="Picture 71">
          <a:extLst>
            <a:ext uri="{FF2B5EF4-FFF2-40B4-BE49-F238E27FC236}">
              <a16:creationId xmlns:a16="http://schemas.microsoft.com/office/drawing/2014/main" id="{00000000-0008-0000-0000-000048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2552699" y="125488699"/>
          <a:ext cx="914400" cy="914400"/>
        </a:xfrm>
        <a:prstGeom prst="rect">
          <a:avLst/>
        </a:prstGeom>
      </xdr:spPr>
    </xdr:pic>
    <xdr:clientData/>
  </xdr:twoCellAnchor>
  <xdr:twoCellAnchor editAs="oneCell">
    <xdr:from>
      <xdr:col>2</xdr:col>
      <xdr:colOff>165099</xdr:colOff>
      <xdr:row>55</xdr:row>
      <xdr:rowOff>749299</xdr:rowOff>
    </xdr:from>
    <xdr:to>
      <xdr:col>2</xdr:col>
      <xdr:colOff>1079499</xdr:colOff>
      <xdr:row>55</xdr:row>
      <xdr:rowOff>1663699</xdr:rowOff>
    </xdr:to>
    <xdr:pic>
      <xdr:nvPicPr>
        <xdr:cNvPr id="75" name="Picture 74">
          <a:extLst>
            <a:ext uri="{FF2B5EF4-FFF2-40B4-BE49-F238E27FC236}">
              <a16:creationId xmlns:a16="http://schemas.microsoft.com/office/drawing/2014/main" id="{00000000-0008-0000-0000-00004B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2578099" y="120383299"/>
          <a:ext cx="914400" cy="914400"/>
        </a:xfrm>
        <a:prstGeom prst="rect">
          <a:avLst/>
        </a:prstGeom>
      </xdr:spPr>
    </xdr:pic>
    <xdr:clientData/>
  </xdr:twoCellAnchor>
  <xdr:twoCellAnchor editAs="oneCell">
    <xdr:from>
      <xdr:col>2</xdr:col>
      <xdr:colOff>152399</xdr:colOff>
      <xdr:row>54</xdr:row>
      <xdr:rowOff>457199</xdr:rowOff>
    </xdr:from>
    <xdr:to>
      <xdr:col>2</xdr:col>
      <xdr:colOff>1066799</xdr:colOff>
      <xdr:row>54</xdr:row>
      <xdr:rowOff>1371599</xdr:rowOff>
    </xdr:to>
    <xdr:pic>
      <xdr:nvPicPr>
        <xdr:cNvPr id="77" name="Picture 76">
          <a:extLst>
            <a:ext uri="{FF2B5EF4-FFF2-40B4-BE49-F238E27FC236}">
              <a16:creationId xmlns:a16="http://schemas.microsoft.com/office/drawing/2014/main" id="{00000000-0008-0000-0000-00004D00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2565399" y="118313199"/>
          <a:ext cx="914400" cy="914400"/>
        </a:xfrm>
        <a:prstGeom prst="rect">
          <a:avLst/>
        </a:prstGeom>
      </xdr:spPr>
    </xdr:pic>
    <xdr:clientData/>
  </xdr:twoCellAnchor>
  <xdr:twoCellAnchor editAs="oneCell">
    <xdr:from>
      <xdr:col>2</xdr:col>
      <xdr:colOff>152399</xdr:colOff>
      <xdr:row>53</xdr:row>
      <xdr:rowOff>495299</xdr:rowOff>
    </xdr:from>
    <xdr:to>
      <xdr:col>2</xdr:col>
      <xdr:colOff>1066799</xdr:colOff>
      <xdr:row>53</xdr:row>
      <xdr:rowOff>1409699</xdr:rowOff>
    </xdr:to>
    <xdr:pic>
      <xdr:nvPicPr>
        <xdr:cNvPr id="78" name="Picture 77">
          <a:extLst>
            <a:ext uri="{FF2B5EF4-FFF2-40B4-BE49-F238E27FC236}">
              <a16:creationId xmlns:a16="http://schemas.microsoft.com/office/drawing/2014/main" id="{00000000-0008-0000-0000-00004E00000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2565399" y="116446299"/>
          <a:ext cx="914400" cy="914400"/>
        </a:xfrm>
        <a:prstGeom prst="rect">
          <a:avLst/>
        </a:prstGeom>
      </xdr:spPr>
    </xdr:pic>
    <xdr:clientData/>
  </xdr:twoCellAnchor>
  <xdr:twoCellAnchor editAs="oneCell">
    <xdr:from>
      <xdr:col>2</xdr:col>
      <xdr:colOff>152399</xdr:colOff>
      <xdr:row>52</xdr:row>
      <xdr:rowOff>346074</xdr:rowOff>
    </xdr:from>
    <xdr:to>
      <xdr:col>2</xdr:col>
      <xdr:colOff>1066799</xdr:colOff>
      <xdr:row>52</xdr:row>
      <xdr:rowOff>1269999</xdr:rowOff>
    </xdr:to>
    <xdr:pic>
      <xdr:nvPicPr>
        <xdr:cNvPr id="79" name="Picture 78">
          <a:extLst>
            <a:ext uri="{FF2B5EF4-FFF2-40B4-BE49-F238E27FC236}">
              <a16:creationId xmlns:a16="http://schemas.microsoft.com/office/drawing/2014/main" id="{00000000-0008-0000-0000-00004F000000}"/>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2565399" y="114684174"/>
          <a:ext cx="914400" cy="923925"/>
        </a:xfrm>
        <a:prstGeom prst="rect">
          <a:avLst/>
        </a:prstGeom>
      </xdr:spPr>
    </xdr:pic>
    <xdr:clientData/>
  </xdr:twoCellAnchor>
  <xdr:twoCellAnchor editAs="oneCell">
    <xdr:from>
      <xdr:col>2</xdr:col>
      <xdr:colOff>152399</xdr:colOff>
      <xdr:row>51</xdr:row>
      <xdr:rowOff>2212974</xdr:rowOff>
    </xdr:from>
    <xdr:to>
      <xdr:col>2</xdr:col>
      <xdr:colOff>1066799</xdr:colOff>
      <xdr:row>51</xdr:row>
      <xdr:rowOff>3136899</xdr:rowOff>
    </xdr:to>
    <xdr:pic>
      <xdr:nvPicPr>
        <xdr:cNvPr id="111" name="Picture 110">
          <a:extLst>
            <a:ext uri="{FF2B5EF4-FFF2-40B4-BE49-F238E27FC236}">
              <a16:creationId xmlns:a16="http://schemas.microsoft.com/office/drawing/2014/main" id="{00000000-0008-0000-0000-00006F000000}"/>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2565399" y="111344074"/>
          <a:ext cx="914400" cy="923925"/>
        </a:xfrm>
        <a:prstGeom prst="rect">
          <a:avLst/>
        </a:prstGeom>
      </xdr:spPr>
    </xdr:pic>
    <xdr:clientData/>
  </xdr:twoCellAnchor>
  <xdr:twoCellAnchor editAs="oneCell">
    <xdr:from>
      <xdr:col>2</xdr:col>
      <xdr:colOff>152399</xdr:colOff>
      <xdr:row>47</xdr:row>
      <xdr:rowOff>1003299</xdr:rowOff>
    </xdr:from>
    <xdr:to>
      <xdr:col>2</xdr:col>
      <xdr:colOff>1066799</xdr:colOff>
      <xdr:row>47</xdr:row>
      <xdr:rowOff>1917699</xdr:rowOff>
    </xdr:to>
    <xdr:pic>
      <xdr:nvPicPr>
        <xdr:cNvPr id="124" name="Picture 123">
          <a:extLst>
            <a:ext uri="{FF2B5EF4-FFF2-40B4-BE49-F238E27FC236}">
              <a16:creationId xmlns:a16="http://schemas.microsoft.com/office/drawing/2014/main" id="{00000000-0008-0000-0000-00007C00000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2565399" y="94868999"/>
          <a:ext cx="914400" cy="914400"/>
        </a:xfrm>
        <a:prstGeom prst="rect">
          <a:avLst/>
        </a:prstGeom>
      </xdr:spPr>
    </xdr:pic>
    <xdr:clientData/>
  </xdr:twoCellAnchor>
  <xdr:twoCellAnchor editAs="oneCell">
    <xdr:from>
      <xdr:col>2</xdr:col>
      <xdr:colOff>126999</xdr:colOff>
      <xdr:row>44</xdr:row>
      <xdr:rowOff>761999</xdr:rowOff>
    </xdr:from>
    <xdr:to>
      <xdr:col>2</xdr:col>
      <xdr:colOff>1073483</xdr:colOff>
      <xdr:row>44</xdr:row>
      <xdr:rowOff>1676399</xdr:rowOff>
    </xdr:to>
    <xdr:pic>
      <xdr:nvPicPr>
        <xdr:cNvPr id="142" name="Picture 141">
          <a:extLst>
            <a:ext uri="{FF2B5EF4-FFF2-40B4-BE49-F238E27FC236}">
              <a16:creationId xmlns:a16="http://schemas.microsoft.com/office/drawing/2014/main" id="{00000000-0008-0000-0000-00008E000000}"/>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tretch>
          <a:fillRect/>
        </a:stretch>
      </xdr:blipFill>
      <xdr:spPr>
        <a:xfrm>
          <a:off x="2539999" y="89928699"/>
          <a:ext cx="946484" cy="914400"/>
        </a:xfrm>
        <a:prstGeom prst="rect">
          <a:avLst/>
        </a:prstGeom>
      </xdr:spPr>
    </xdr:pic>
    <xdr:clientData/>
  </xdr:twoCellAnchor>
  <xdr:twoCellAnchor editAs="oneCell">
    <xdr:from>
      <xdr:col>2</xdr:col>
      <xdr:colOff>152399</xdr:colOff>
      <xdr:row>43</xdr:row>
      <xdr:rowOff>2158999</xdr:rowOff>
    </xdr:from>
    <xdr:to>
      <xdr:col>2</xdr:col>
      <xdr:colOff>1066799</xdr:colOff>
      <xdr:row>43</xdr:row>
      <xdr:rowOff>3073399</xdr:rowOff>
    </xdr:to>
    <xdr:pic>
      <xdr:nvPicPr>
        <xdr:cNvPr id="143" name="Picture 142">
          <a:extLst>
            <a:ext uri="{FF2B5EF4-FFF2-40B4-BE49-F238E27FC236}">
              <a16:creationId xmlns:a16="http://schemas.microsoft.com/office/drawing/2014/main" id="{00000000-0008-0000-0000-00008F000000}"/>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tretch>
          <a:fillRect/>
        </a:stretch>
      </xdr:blipFill>
      <xdr:spPr>
        <a:xfrm>
          <a:off x="2565399" y="86118699"/>
          <a:ext cx="914400" cy="914400"/>
        </a:xfrm>
        <a:prstGeom prst="rect">
          <a:avLst/>
        </a:prstGeom>
      </xdr:spPr>
    </xdr:pic>
    <xdr:clientData/>
  </xdr:twoCellAnchor>
  <xdr:twoCellAnchor editAs="oneCell">
    <xdr:from>
      <xdr:col>2</xdr:col>
      <xdr:colOff>152399</xdr:colOff>
      <xdr:row>42</xdr:row>
      <xdr:rowOff>1523999</xdr:rowOff>
    </xdr:from>
    <xdr:to>
      <xdr:col>2</xdr:col>
      <xdr:colOff>1066799</xdr:colOff>
      <xdr:row>42</xdr:row>
      <xdr:rowOff>2438399</xdr:rowOff>
    </xdr:to>
    <xdr:pic>
      <xdr:nvPicPr>
        <xdr:cNvPr id="144" name="Picture 143">
          <a:extLst>
            <a:ext uri="{FF2B5EF4-FFF2-40B4-BE49-F238E27FC236}">
              <a16:creationId xmlns:a16="http://schemas.microsoft.com/office/drawing/2014/main" id="{00000000-0008-0000-0000-000090000000}"/>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2565399" y="81597499"/>
          <a:ext cx="914400" cy="914400"/>
        </a:xfrm>
        <a:prstGeom prst="rect">
          <a:avLst/>
        </a:prstGeom>
      </xdr:spPr>
    </xdr:pic>
    <xdr:clientData/>
  </xdr:twoCellAnchor>
  <xdr:twoCellAnchor editAs="oneCell">
    <xdr:from>
      <xdr:col>2</xdr:col>
      <xdr:colOff>152399</xdr:colOff>
      <xdr:row>41</xdr:row>
      <xdr:rowOff>765174</xdr:rowOff>
    </xdr:from>
    <xdr:to>
      <xdr:col>2</xdr:col>
      <xdr:colOff>1066799</xdr:colOff>
      <xdr:row>41</xdr:row>
      <xdr:rowOff>1689099</xdr:rowOff>
    </xdr:to>
    <xdr:pic>
      <xdr:nvPicPr>
        <xdr:cNvPr id="145" name="Picture 144">
          <a:extLst>
            <a:ext uri="{FF2B5EF4-FFF2-40B4-BE49-F238E27FC236}">
              <a16:creationId xmlns:a16="http://schemas.microsoft.com/office/drawing/2014/main" id="{00000000-0008-0000-0000-000091000000}"/>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2565399" y="78412974"/>
          <a:ext cx="914400" cy="923925"/>
        </a:xfrm>
        <a:prstGeom prst="rect">
          <a:avLst/>
        </a:prstGeom>
      </xdr:spPr>
    </xdr:pic>
    <xdr:clientData/>
  </xdr:twoCellAnchor>
  <xdr:twoCellAnchor editAs="oneCell">
    <xdr:from>
      <xdr:col>2</xdr:col>
      <xdr:colOff>152399</xdr:colOff>
      <xdr:row>40</xdr:row>
      <xdr:rowOff>2171699</xdr:rowOff>
    </xdr:from>
    <xdr:to>
      <xdr:col>2</xdr:col>
      <xdr:colOff>1066799</xdr:colOff>
      <xdr:row>40</xdr:row>
      <xdr:rowOff>3086099</xdr:rowOff>
    </xdr:to>
    <xdr:pic>
      <xdr:nvPicPr>
        <xdr:cNvPr id="158" name="Picture 157">
          <a:extLst>
            <a:ext uri="{FF2B5EF4-FFF2-40B4-BE49-F238E27FC236}">
              <a16:creationId xmlns:a16="http://schemas.microsoft.com/office/drawing/2014/main" id="{00000000-0008-0000-0000-00009E000000}"/>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2565399" y="74612499"/>
          <a:ext cx="914400" cy="914400"/>
        </a:xfrm>
        <a:prstGeom prst="rect">
          <a:avLst/>
        </a:prstGeom>
      </xdr:spPr>
    </xdr:pic>
    <xdr:clientData/>
  </xdr:twoCellAnchor>
  <xdr:twoCellAnchor editAs="oneCell">
    <xdr:from>
      <xdr:col>2</xdr:col>
      <xdr:colOff>152399</xdr:colOff>
      <xdr:row>39</xdr:row>
      <xdr:rowOff>1219199</xdr:rowOff>
    </xdr:from>
    <xdr:to>
      <xdr:col>2</xdr:col>
      <xdr:colOff>1066799</xdr:colOff>
      <xdr:row>39</xdr:row>
      <xdr:rowOff>2133599</xdr:rowOff>
    </xdr:to>
    <xdr:pic>
      <xdr:nvPicPr>
        <xdr:cNvPr id="159" name="Picture 158">
          <a:extLst>
            <a:ext uri="{FF2B5EF4-FFF2-40B4-BE49-F238E27FC236}">
              <a16:creationId xmlns:a16="http://schemas.microsoft.com/office/drawing/2014/main" id="{00000000-0008-0000-0000-00009F000000}"/>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2565399" y="70383399"/>
          <a:ext cx="914400" cy="914400"/>
        </a:xfrm>
        <a:prstGeom prst="rect">
          <a:avLst/>
        </a:prstGeom>
      </xdr:spPr>
    </xdr:pic>
    <xdr:clientData/>
  </xdr:twoCellAnchor>
  <xdr:twoCellAnchor editAs="oneCell">
    <xdr:from>
      <xdr:col>2</xdr:col>
      <xdr:colOff>152399</xdr:colOff>
      <xdr:row>36</xdr:row>
      <xdr:rowOff>457199</xdr:rowOff>
    </xdr:from>
    <xdr:to>
      <xdr:col>2</xdr:col>
      <xdr:colOff>1066799</xdr:colOff>
      <xdr:row>36</xdr:row>
      <xdr:rowOff>1371599</xdr:rowOff>
    </xdr:to>
    <xdr:pic>
      <xdr:nvPicPr>
        <xdr:cNvPr id="160" name="Picture 159">
          <a:extLst>
            <a:ext uri="{FF2B5EF4-FFF2-40B4-BE49-F238E27FC236}">
              <a16:creationId xmlns:a16="http://schemas.microsoft.com/office/drawing/2014/main" id="{00000000-0008-0000-0000-0000A0000000}"/>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2565399" y="65722499"/>
          <a:ext cx="914400" cy="914400"/>
        </a:xfrm>
        <a:prstGeom prst="rect">
          <a:avLst/>
        </a:prstGeom>
      </xdr:spPr>
    </xdr:pic>
    <xdr:clientData/>
  </xdr:twoCellAnchor>
  <xdr:twoCellAnchor editAs="oneCell">
    <xdr:from>
      <xdr:col>2</xdr:col>
      <xdr:colOff>152399</xdr:colOff>
      <xdr:row>35</xdr:row>
      <xdr:rowOff>774699</xdr:rowOff>
    </xdr:from>
    <xdr:to>
      <xdr:col>2</xdr:col>
      <xdr:colOff>1066799</xdr:colOff>
      <xdr:row>35</xdr:row>
      <xdr:rowOff>1689099</xdr:rowOff>
    </xdr:to>
    <xdr:pic>
      <xdr:nvPicPr>
        <xdr:cNvPr id="161" name="Picture 160">
          <a:extLst>
            <a:ext uri="{FF2B5EF4-FFF2-40B4-BE49-F238E27FC236}">
              <a16:creationId xmlns:a16="http://schemas.microsoft.com/office/drawing/2014/main" id="{00000000-0008-0000-0000-0000A1000000}"/>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2565399" y="63652399"/>
          <a:ext cx="914400" cy="914400"/>
        </a:xfrm>
        <a:prstGeom prst="rect">
          <a:avLst/>
        </a:prstGeom>
      </xdr:spPr>
    </xdr:pic>
    <xdr:clientData/>
  </xdr:twoCellAnchor>
  <xdr:twoCellAnchor editAs="oneCell">
    <xdr:from>
      <xdr:col>2</xdr:col>
      <xdr:colOff>152399</xdr:colOff>
      <xdr:row>38</xdr:row>
      <xdr:rowOff>634999</xdr:rowOff>
    </xdr:from>
    <xdr:to>
      <xdr:col>2</xdr:col>
      <xdr:colOff>1066799</xdr:colOff>
      <xdr:row>38</xdr:row>
      <xdr:rowOff>1549399</xdr:rowOff>
    </xdr:to>
    <xdr:pic>
      <xdr:nvPicPr>
        <xdr:cNvPr id="171" name="Picture 170">
          <a:extLst>
            <a:ext uri="{FF2B5EF4-FFF2-40B4-BE49-F238E27FC236}">
              <a16:creationId xmlns:a16="http://schemas.microsoft.com/office/drawing/2014/main" id="{00000000-0008-0000-0000-0000AB00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2565399" y="67703699"/>
          <a:ext cx="914400" cy="914400"/>
        </a:xfrm>
        <a:prstGeom prst="rect">
          <a:avLst/>
        </a:prstGeom>
      </xdr:spPr>
    </xdr:pic>
    <xdr:clientData/>
  </xdr:twoCellAnchor>
  <xdr:twoCellAnchor editAs="oneCell">
    <xdr:from>
      <xdr:col>2</xdr:col>
      <xdr:colOff>152399</xdr:colOff>
      <xdr:row>34</xdr:row>
      <xdr:rowOff>1476374</xdr:rowOff>
    </xdr:from>
    <xdr:to>
      <xdr:col>2</xdr:col>
      <xdr:colOff>1066799</xdr:colOff>
      <xdr:row>34</xdr:row>
      <xdr:rowOff>2400299</xdr:rowOff>
    </xdr:to>
    <xdr:pic>
      <xdr:nvPicPr>
        <xdr:cNvPr id="218" name="Picture 217">
          <a:extLst>
            <a:ext uri="{FF2B5EF4-FFF2-40B4-BE49-F238E27FC236}">
              <a16:creationId xmlns:a16="http://schemas.microsoft.com/office/drawing/2014/main" id="{00000000-0008-0000-0000-0000DA00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2565399" y="60582174"/>
          <a:ext cx="914400" cy="923925"/>
        </a:xfrm>
        <a:prstGeom prst="rect">
          <a:avLst/>
        </a:prstGeom>
      </xdr:spPr>
    </xdr:pic>
    <xdr:clientData/>
  </xdr:twoCellAnchor>
  <xdr:twoCellAnchor editAs="oneCell">
    <xdr:from>
      <xdr:col>2</xdr:col>
      <xdr:colOff>152399</xdr:colOff>
      <xdr:row>33</xdr:row>
      <xdr:rowOff>638174</xdr:rowOff>
    </xdr:from>
    <xdr:to>
      <xdr:col>2</xdr:col>
      <xdr:colOff>1066799</xdr:colOff>
      <xdr:row>33</xdr:row>
      <xdr:rowOff>1562099</xdr:rowOff>
    </xdr:to>
    <xdr:pic>
      <xdr:nvPicPr>
        <xdr:cNvPr id="219" name="Picture 218">
          <a:extLst>
            <a:ext uri="{FF2B5EF4-FFF2-40B4-BE49-F238E27FC236}">
              <a16:creationId xmlns:a16="http://schemas.microsoft.com/office/drawing/2014/main" id="{00000000-0008-0000-0000-0000DB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2565399" y="57546874"/>
          <a:ext cx="914400" cy="923925"/>
        </a:xfrm>
        <a:prstGeom prst="rect">
          <a:avLst/>
        </a:prstGeom>
      </xdr:spPr>
    </xdr:pic>
    <xdr:clientData/>
  </xdr:twoCellAnchor>
  <xdr:twoCellAnchor editAs="oneCell">
    <xdr:from>
      <xdr:col>2</xdr:col>
      <xdr:colOff>165099</xdr:colOff>
      <xdr:row>32</xdr:row>
      <xdr:rowOff>676274</xdr:rowOff>
    </xdr:from>
    <xdr:to>
      <xdr:col>2</xdr:col>
      <xdr:colOff>1079499</xdr:colOff>
      <xdr:row>32</xdr:row>
      <xdr:rowOff>1600199</xdr:rowOff>
    </xdr:to>
    <xdr:pic>
      <xdr:nvPicPr>
        <xdr:cNvPr id="220" name="Picture 219">
          <a:extLst>
            <a:ext uri="{FF2B5EF4-FFF2-40B4-BE49-F238E27FC236}">
              <a16:creationId xmlns:a16="http://schemas.microsoft.com/office/drawing/2014/main" id="{00000000-0008-0000-0000-0000DC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2578099" y="55387874"/>
          <a:ext cx="914400" cy="923925"/>
        </a:xfrm>
        <a:prstGeom prst="rect">
          <a:avLst/>
        </a:prstGeom>
      </xdr:spPr>
    </xdr:pic>
    <xdr:clientData/>
  </xdr:twoCellAnchor>
  <xdr:twoCellAnchor editAs="oneCell">
    <xdr:from>
      <xdr:col>2</xdr:col>
      <xdr:colOff>152399</xdr:colOff>
      <xdr:row>28</xdr:row>
      <xdr:rowOff>1663699</xdr:rowOff>
    </xdr:from>
    <xdr:to>
      <xdr:col>2</xdr:col>
      <xdr:colOff>1066799</xdr:colOff>
      <xdr:row>28</xdr:row>
      <xdr:rowOff>2578099</xdr:rowOff>
    </xdr:to>
    <xdr:pic>
      <xdr:nvPicPr>
        <xdr:cNvPr id="221" name="Picture 220">
          <a:extLst>
            <a:ext uri="{FF2B5EF4-FFF2-40B4-BE49-F238E27FC236}">
              <a16:creationId xmlns:a16="http://schemas.microsoft.com/office/drawing/2014/main" id="{00000000-0008-0000-0000-0000DD00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2565399" y="48666399"/>
          <a:ext cx="914400" cy="914400"/>
        </a:xfrm>
        <a:prstGeom prst="rect">
          <a:avLst/>
        </a:prstGeom>
      </xdr:spPr>
    </xdr:pic>
    <xdr:clientData/>
  </xdr:twoCellAnchor>
  <xdr:twoCellAnchor editAs="oneCell">
    <xdr:from>
      <xdr:col>2</xdr:col>
      <xdr:colOff>139699</xdr:colOff>
      <xdr:row>27</xdr:row>
      <xdr:rowOff>812799</xdr:rowOff>
    </xdr:from>
    <xdr:to>
      <xdr:col>2</xdr:col>
      <xdr:colOff>1054099</xdr:colOff>
      <xdr:row>27</xdr:row>
      <xdr:rowOff>1727199</xdr:rowOff>
    </xdr:to>
    <xdr:pic>
      <xdr:nvPicPr>
        <xdr:cNvPr id="223" name="Picture 222">
          <a:extLst>
            <a:ext uri="{FF2B5EF4-FFF2-40B4-BE49-F238E27FC236}">
              <a16:creationId xmlns:a16="http://schemas.microsoft.com/office/drawing/2014/main" id="{00000000-0008-0000-0000-0000DF00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2552699" y="45415199"/>
          <a:ext cx="914400" cy="914400"/>
        </a:xfrm>
        <a:prstGeom prst="rect">
          <a:avLst/>
        </a:prstGeom>
      </xdr:spPr>
    </xdr:pic>
    <xdr:clientData/>
  </xdr:twoCellAnchor>
  <xdr:twoCellAnchor editAs="oneCell">
    <xdr:from>
      <xdr:col>2</xdr:col>
      <xdr:colOff>152399</xdr:colOff>
      <xdr:row>26</xdr:row>
      <xdr:rowOff>1473199</xdr:rowOff>
    </xdr:from>
    <xdr:to>
      <xdr:col>2</xdr:col>
      <xdr:colOff>1066799</xdr:colOff>
      <xdr:row>26</xdr:row>
      <xdr:rowOff>2387599</xdr:rowOff>
    </xdr:to>
    <xdr:pic>
      <xdr:nvPicPr>
        <xdr:cNvPr id="224" name="Picture 223">
          <a:extLst>
            <a:ext uri="{FF2B5EF4-FFF2-40B4-BE49-F238E27FC236}">
              <a16:creationId xmlns:a16="http://schemas.microsoft.com/office/drawing/2014/main" id="{00000000-0008-0000-0000-0000E0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2565399" y="42354499"/>
          <a:ext cx="914400" cy="914400"/>
        </a:xfrm>
        <a:prstGeom prst="rect">
          <a:avLst/>
        </a:prstGeom>
      </xdr:spPr>
    </xdr:pic>
    <xdr:clientData/>
  </xdr:twoCellAnchor>
  <xdr:twoCellAnchor editAs="oneCell">
    <xdr:from>
      <xdr:col>2</xdr:col>
      <xdr:colOff>152399</xdr:colOff>
      <xdr:row>24</xdr:row>
      <xdr:rowOff>1790699</xdr:rowOff>
    </xdr:from>
    <xdr:to>
      <xdr:col>2</xdr:col>
      <xdr:colOff>1066799</xdr:colOff>
      <xdr:row>24</xdr:row>
      <xdr:rowOff>2705099</xdr:rowOff>
    </xdr:to>
    <xdr:pic>
      <xdr:nvPicPr>
        <xdr:cNvPr id="225" name="Picture 224">
          <a:extLst>
            <a:ext uri="{FF2B5EF4-FFF2-40B4-BE49-F238E27FC236}">
              <a16:creationId xmlns:a16="http://schemas.microsoft.com/office/drawing/2014/main" id="{00000000-0008-0000-0000-0000E1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2565399" y="38290499"/>
          <a:ext cx="914400" cy="914400"/>
        </a:xfrm>
        <a:prstGeom prst="rect">
          <a:avLst/>
        </a:prstGeom>
      </xdr:spPr>
    </xdr:pic>
    <xdr:clientData/>
  </xdr:twoCellAnchor>
  <xdr:twoCellAnchor editAs="oneCell">
    <xdr:from>
      <xdr:col>2</xdr:col>
      <xdr:colOff>152399</xdr:colOff>
      <xdr:row>9</xdr:row>
      <xdr:rowOff>1295399</xdr:rowOff>
    </xdr:from>
    <xdr:to>
      <xdr:col>2</xdr:col>
      <xdr:colOff>1066799</xdr:colOff>
      <xdr:row>9</xdr:row>
      <xdr:rowOff>2209799</xdr:rowOff>
    </xdr:to>
    <xdr:pic>
      <xdr:nvPicPr>
        <xdr:cNvPr id="229" name="Picture 228">
          <a:extLst>
            <a:ext uri="{FF2B5EF4-FFF2-40B4-BE49-F238E27FC236}">
              <a16:creationId xmlns:a16="http://schemas.microsoft.com/office/drawing/2014/main" id="{00000000-0008-0000-0000-0000E5000000}"/>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2565399" y="13627099"/>
          <a:ext cx="914400" cy="914400"/>
        </a:xfrm>
        <a:prstGeom prst="rect">
          <a:avLst/>
        </a:prstGeom>
      </xdr:spPr>
    </xdr:pic>
    <xdr:clientData/>
  </xdr:twoCellAnchor>
  <xdr:twoCellAnchor editAs="oneCell">
    <xdr:from>
      <xdr:col>2</xdr:col>
      <xdr:colOff>152399</xdr:colOff>
      <xdr:row>10</xdr:row>
      <xdr:rowOff>749299</xdr:rowOff>
    </xdr:from>
    <xdr:to>
      <xdr:col>2</xdr:col>
      <xdr:colOff>1066799</xdr:colOff>
      <xdr:row>10</xdr:row>
      <xdr:rowOff>1663699</xdr:rowOff>
    </xdr:to>
    <xdr:pic>
      <xdr:nvPicPr>
        <xdr:cNvPr id="231" name="Picture 230">
          <a:extLst>
            <a:ext uri="{FF2B5EF4-FFF2-40B4-BE49-F238E27FC236}">
              <a16:creationId xmlns:a16="http://schemas.microsoft.com/office/drawing/2014/main" id="{00000000-0008-0000-0000-0000E7000000}"/>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tretch>
          <a:fillRect/>
        </a:stretch>
      </xdr:blipFill>
      <xdr:spPr>
        <a:xfrm>
          <a:off x="2565399" y="16484599"/>
          <a:ext cx="914400" cy="914400"/>
        </a:xfrm>
        <a:prstGeom prst="rect">
          <a:avLst/>
        </a:prstGeom>
      </xdr:spPr>
    </xdr:pic>
    <xdr:clientData/>
  </xdr:twoCellAnchor>
  <xdr:twoCellAnchor editAs="oneCell">
    <xdr:from>
      <xdr:col>2</xdr:col>
      <xdr:colOff>139699</xdr:colOff>
      <xdr:row>22</xdr:row>
      <xdr:rowOff>955674</xdr:rowOff>
    </xdr:from>
    <xdr:to>
      <xdr:col>2</xdr:col>
      <xdr:colOff>1076959</xdr:colOff>
      <xdr:row>22</xdr:row>
      <xdr:rowOff>1879599</xdr:rowOff>
    </xdr:to>
    <xdr:pic>
      <xdr:nvPicPr>
        <xdr:cNvPr id="232" name="Picture 231">
          <a:extLst>
            <a:ext uri="{FF2B5EF4-FFF2-40B4-BE49-F238E27FC236}">
              <a16:creationId xmlns:a16="http://schemas.microsoft.com/office/drawing/2014/main" id="{00000000-0008-0000-0000-0000E800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52699" y="30305374"/>
          <a:ext cx="937260" cy="923925"/>
        </a:xfrm>
        <a:prstGeom prst="rect">
          <a:avLst/>
        </a:prstGeom>
      </xdr:spPr>
    </xdr:pic>
    <xdr:clientData/>
  </xdr:twoCellAnchor>
  <xdr:twoCellAnchor editAs="oneCell">
    <xdr:from>
      <xdr:col>2</xdr:col>
      <xdr:colOff>152399</xdr:colOff>
      <xdr:row>17</xdr:row>
      <xdr:rowOff>1019174</xdr:rowOff>
    </xdr:from>
    <xdr:to>
      <xdr:col>2</xdr:col>
      <xdr:colOff>1066799</xdr:colOff>
      <xdr:row>17</xdr:row>
      <xdr:rowOff>1943099</xdr:rowOff>
    </xdr:to>
    <xdr:pic>
      <xdr:nvPicPr>
        <xdr:cNvPr id="233" name="Picture 232">
          <a:extLst>
            <a:ext uri="{FF2B5EF4-FFF2-40B4-BE49-F238E27FC236}">
              <a16:creationId xmlns:a16="http://schemas.microsoft.com/office/drawing/2014/main" id="{00000000-0008-0000-0000-0000E9000000}"/>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2565399" y="27447874"/>
          <a:ext cx="914400" cy="923925"/>
        </a:xfrm>
        <a:prstGeom prst="rect">
          <a:avLst/>
        </a:prstGeom>
      </xdr:spPr>
    </xdr:pic>
    <xdr:clientData/>
  </xdr:twoCellAnchor>
  <xdr:twoCellAnchor editAs="oneCell">
    <xdr:from>
      <xdr:col>2</xdr:col>
      <xdr:colOff>152399</xdr:colOff>
      <xdr:row>12</xdr:row>
      <xdr:rowOff>968374</xdr:rowOff>
    </xdr:from>
    <xdr:to>
      <xdr:col>2</xdr:col>
      <xdr:colOff>1066799</xdr:colOff>
      <xdr:row>12</xdr:row>
      <xdr:rowOff>1892299</xdr:rowOff>
    </xdr:to>
    <xdr:pic>
      <xdr:nvPicPr>
        <xdr:cNvPr id="234" name="Picture 233">
          <a:extLst>
            <a:ext uri="{FF2B5EF4-FFF2-40B4-BE49-F238E27FC236}">
              <a16:creationId xmlns:a16="http://schemas.microsoft.com/office/drawing/2014/main" id="{00000000-0008-0000-0000-0000EA00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2565399" y="18976974"/>
          <a:ext cx="914400" cy="923925"/>
        </a:xfrm>
        <a:prstGeom prst="rect">
          <a:avLst/>
        </a:prstGeom>
      </xdr:spPr>
    </xdr:pic>
    <xdr:clientData/>
  </xdr:twoCellAnchor>
  <xdr:twoCellAnchor editAs="oneCell">
    <xdr:from>
      <xdr:col>2</xdr:col>
      <xdr:colOff>152399</xdr:colOff>
      <xdr:row>8</xdr:row>
      <xdr:rowOff>1206499</xdr:rowOff>
    </xdr:from>
    <xdr:to>
      <xdr:col>2</xdr:col>
      <xdr:colOff>1066799</xdr:colOff>
      <xdr:row>8</xdr:row>
      <xdr:rowOff>2120899</xdr:rowOff>
    </xdr:to>
    <xdr:pic>
      <xdr:nvPicPr>
        <xdr:cNvPr id="235" name="Picture 234">
          <a:extLst>
            <a:ext uri="{FF2B5EF4-FFF2-40B4-BE49-F238E27FC236}">
              <a16:creationId xmlns:a16="http://schemas.microsoft.com/office/drawing/2014/main" id="{00000000-0008-0000-0000-0000EB00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2565399" y="10299699"/>
          <a:ext cx="914400" cy="914400"/>
        </a:xfrm>
        <a:prstGeom prst="rect">
          <a:avLst/>
        </a:prstGeom>
      </xdr:spPr>
    </xdr:pic>
    <xdr:clientData/>
  </xdr:twoCellAnchor>
  <xdr:twoCellAnchor editAs="oneCell">
    <xdr:from>
      <xdr:col>2</xdr:col>
      <xdr:colOff>152399</xdr:colOff>
      <xdr:row>6</xdr:row>
      <xdr:rowOff>1828799</xdr:rowOff>
    </xdr:from>
    <xdr:to>
      <xdr:col>2</xdr:col>
      <xdr:colOff>1066799</xdr:colOff>
      <xdr:row>6</xdr:row>
      <xdr:rowOff>2743199</xdr:rowOff>
    </xdr:to>
    <xdr:pic>
      <xdr:nvPicPr>
        <xdr:cNvPr id="236" name="Picture 235">
          <a:extLst>
            <a:ext uri="{FF2B5EF4-FFF2-40B4-BE49-F238E27FC236}">
              <a16:creationId xmlns:a16="http://schemas.microsoft.com/office/drawing/2014/main" id="{00000000-0008-0000-0000-0000EC00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2565399" y="3695699"/>
          <a:ext cx="914400" cy="914400"/>
        </a:xfrm>
        <a:prstGeom prst="rect">
          <a:avLst/>
        </a:prstGeom>
      </xdr:spPr>
    </xdr:pic>
    <xdr:clientData/>
  </xdr:twoCellAnchor>
  <xdr:twoCellAnchor editAs="oneCell">
    <xdr:from>
      <xdr:col>2</xdr:col>
      <xdr:colOff>152399</xdr:colOff>
      <xdr:row>7</xdr:row>
      <xdr:rowOff>977899</xdr:rowOff>
    </xdr:from>
    <xdr:to>
      <xdr:col>2</xdr:col>
      <xdr:colOff>1066799</xdr:colOff>
      <xdr:row>7</xdr:row>
      <xdr:rowOff>1892299</xdr:rowOff>
    </xdr:to>
    <xdr:pic>
      <xdr:nvPicPr>
        <xdr:cNvPr id="237" name="Picture 236">
          <a:extLst>
            <a:ext uri="{FF2B5EF4-FFF2-40B4-BE49-F238E27FC236}">
              <a16:creationId xmlns:a16="http://schemas.microsoft.com/office/drawing/2014/main" id="{00000000-0008-0000-0000-0000ED00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2565399" y="7378699"/>
          <a:ext cx="914400" cy="914400"/>
        </a:xfrm>
        <a:prstGeom prst="rect">
          <a:avLst/>
        </a:prstGeom>
      </xdr:spPr>
    </xdr:pic>
    <xdr:clientData/>
  </xdr:twoCellAnchor>
  <xdr:twoCellAnchor editAs="oneCell">
    <xdr:from>
      <xdr:col>2</xdr:col>
      <xdr:colOff>139699</xdr:colOff>
      <xdr:row>14</xdr:row>
      <xdr:rowOff>952499</xdr:rowOff>
    </xdr:from>
    <xdr:to>
      <xdr:col>2</xdr:col>
      <xdr:colOff>1076959</xdr:colOff>
      <xdr:row>14</xdr:row>
      <xdr:rowOff>1866899</xdr:rowOff>
    </xdr:to>
    <xdr:pic>
      <xdr:nvPicPr>
        <xdr:cNvPr id="238" name="Picture 237">
          <a:extLst>
            <a:ext uri="{FF2B5EF4-FFF2-40B4-BE49-F238E27FC236}">
              <a16:creationId xmlns:a16="http://schemas.microsoft.com/office/drawing/2014/main" id="{00000000-0008-0000-0000-0000EE00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52699" y="24574499"/>
          <a:ext cx="937260" cy="914400"/>
        </a:xfrm>
        <a:prstGeom prst="rect">
          <a:avLst/>
        </a:prstGeom>
      </xdr:spPr>
    </xdr:pic>
    <xdr:clientData/>
  </xdr:twoCellAnchor>
  <xdr:twoCellAnchor editAs="oneCell">
    <xdr:from>
      <xdr:col>2</xdr:col>
      <xdr:colOff>139699</xdr:colOff>
      <xdr:row>13</xdr:row>
      <xdr:rowOff>977899</xdr:rowOff>
    </xdr:from>
    <xdr:to>
      <xdr:col>2</xdr:col>
      <xdr:colOff>1076959</xdr:colOff>
      <xdr:row>13</xdr:row>
      <xdr:rowOff>1892299</xdr:rowOff>
    </xdr:to>
    <xdr:pic>
      <xdr:nvPicPr>
        <xdr:cNvPr id="239" name="Picture 238">
          <a:extLst>
            <a:ext uri="{FF2B5EF4-FFF2-40B4-BE49-F238E27FC236}">
              <a16:creationId xmlns:a16="http://schemas.microsoft.com/office/drawing/2014/main" id="{00000000-0008-0000-0000-0000EF00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52699" y="21793199"/>
          <a:ext cx="937260" cy="914400"/>
        </a:xfrm>
        <a:prstGeom prst="rect">
          <a:avLst/>
        </a:prstGeom>
      </xdr:spPr>
    </xdr:pic>
    <xdr:clientData/>
  </xdr:twoCellAnchor>
  <xdr:twoCellAnchor editAs="oneCell">
    <xdr:from>
      <xdr:col>2</xdr:col>
      <xdr:colOff>152399</xdr:colOff>
      <xdr:row>56</xdr:row>
      <xdr:rowOff>673099</xdr:rowOff>
    </xdr:from>
    <xdr:to>
      <xdr:col>2</xdr:col>
      <xdr:colOff>1066799</xdr:colOff>
      <xdr:row>56</xdr:row>
      <xdr:rowOff>1587499</xdr:rowOff>
    </xdr:to>
    <xdr:pic>
      <xdr:nvPicPr>
        <xdr:cNvPr id="240" name="Picture 239">
          <a:extLst>
            <a:ext uri="{FF2B5EF4-FFF2-40B4-BE49-F238E27FC236}">
              <a16:creationId xmlns:a16="http://schemas.microsoft.com/office/drawing/2014/main" id="{00000000-0008-0000-0000-0000F0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2565399" y="122707399"/>
          <a:ext cx="914400" cy="914400"/>
        </a:xfrm>
        <a:prstGeom prst="rect">
          <a:avLst/>
        </a:prstGeom>
      </xdr:spPr>
    </xdr:pic>
    <xdr:clientData/>
  </xdr:twoCellAnchor>
  <xdr:twoCellAnchor editAs="oneCell">
    <xdr:from>
      <xdr:col>2</xdr:col>
      <xdr:colOff>152399</xdr:colOff>
      <xdr:row>45</xdr:row>
      <xdr:rowOff>736599</xdr:rowOff>
    </xdr:from>
    <xdr:to>
      <xdr:col>2</xdr:col>
      <xdr:colOff>1066799</xdr:colOff>
      <xdr:row>45</xdr:row>
      <xdr:rowOff>1650999</xdr:rowOff>
    </xdr:to>
    <xdr:pic>
      <xdr:nvPicPr>
        <xdr:cNvPr id="241" name="Picture 240">
          <a:extLst>
            <a:ext uri="{FF2B5EF4-FFF2-40B4-BE49-F238E27FC236}">
              <a16:creationId xmlns:a16="http://schemas.microsoft.com/office/drawing/2014/main" id="{00000000-0008-0000-0000-0000F100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2565399" y="92252799"/>
          <a:ext cx="914400" cy="914400"/>
        </a:xfrm>
        <a:prstGeom prst="rect">
          <a:avLst/>
        </a:prstGeom>
      </xdr:spPr>
    </xdr:pic>
    <xdr:clientData/>
  </xdr:twoCellAnchor>
  <xdr:twoCellAnchor>
    <xdr:from>
      <xdr:col>121</xdr:col>
      <xdr:colOff>0</xdr:colOff>
      <xdr:row>31</xdr:row>
      <xdr:rowOff>911225</xdr:rowOff>
    </xdr:from>
    <xdr:to>
      <xdr:col>122</xdr:col>
      <xdr:colOff>0</xdr:colOff>
      <xdr:row>31</xdr:row>
      <xdr:rowOff>1152525</xdr:rowOff>
    </xdr:to>
    <xdr:sp macro="" textlink="">
      <xdr:nvSpPr>
        <xdr:cNvPr id="210" name="TextBox 209">
          <a:hlinkClick xmlns:r="http://schemas.openxmlformats.org/officeDocument/2006/relationships" r:id="rId15"/>
          <a:extLst>
            <a:ext uri="{FF2B5EF4-FFF2-40B4-BE49-F238E27FC236}">
              <a16:creationId xmlns:a16="http://schemas.microsoft.com/office/drawing/2014/main" id="{00000000-0008-0000-0000-0000D2000000}"/>
            </a:ext>
          </a:extLst>
        </xdr:cNvPr>
        <xdr:cNvSpPr txBox="1"/>
      </xdr:nvSpPr>
      <xdr:spPr>
        <a:xfrm>
          <a:off x="117878225" y="520160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http://ciceet.unh.edu/news/releases/spring08_progress_reports/pdf/vallino.pdf</a:t>
          </a:r>
        </a:p>
      </xdr:txBody>
    </xdr:sp>
    <xdr:clientData/>
  </xdr:twoCellAnchor>
  <xdr:twoCellAnchor>
    <xdr:from>
      <xdr:col>121</xdr:col>
      <xdr:colOff>0</xdr:colOff>
      <xdr:row>31</xdr:row>
      <xdr:rowOff>571500</xdr:rowOff>
    </xdr:from>
    <xdr:to>
      <xdr:col>122</xdr:col>
      <xdr:colOff>0</xdr:colOff>
      <xdr:row>31</xdr:row>
      <xdr:rowOff>812800</xdr:rowOff>
    </xdr:to>
    <xdr:sp macro="" textlink="">
      <xdr:nvSpPr>
        <xdr:cNvPr id="227" name="TextBox 226">
          <a:hlinkClick xmlns:r="http://schemas.openxmlformats.org/officeDocument/2006/relationships" r:id="rId31"/>
          <a:extLst>
            <a:ext uri="{FF2B5EF4-FFF2-40B4-BE49-F238E27FC236}">
              <a16:creationId xmlns:a16="http://schemas.microsoft.com/office/drawing/2014/main" id="{00000000-0008-0000-0000-0000E3000000}"/>
            </a:ext>
          </a:extLst>
        </xdr:cNvPr>
        <xdr:cNvSpPr txBox="1"/>
      </xdr:nvSpPr>
      <xdr:spPr>
        <a:xfrm>
          <a:off x="117903625" y="51676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http://link.springer.com/article/10.1007/s11252-012-0266-z</a:t>
          </a:r>
        </a:p>
      </xdr:txBody>
    </xdr:sp>
    <xdr:clientData/>
  </xdr:twoCellAnchor>
  <xdr:twoCellAnchor>
    <xdr:from>
      <xdr:col>121</xdr:col>
      <xdr:colOff>0</xdr:colOff>
      <xdr:row>31</xdr:row>
      <xdr:rowOff>104775</xdr:rowOff>
    </xdr:from>
    <xdr:to>
      <xdr:col>122</xdr:col>
      <xdr:colOff>0</xdr:colOff>
      <xdr:row>31</xdr:row>
      <xdr:rowOff>346075</xdr:rowOff>
    </xdr:to>
    <xdr:sp macro="" textlink="">
      <xdr:nvSpPr>
        <xdr:cNvPr id="228" name="TextBox 227">
          <a:hlinkClick xmlns:r="http://schemas.openxmlformats.org/officeDocument/2006/relationships" r:id="rId32"/>
          <a:extLst>
            <a:ext uri="{FF2B5EF4-FFF2-40B4-BE49-F238E27FC236}">
              <a16:creationId xmlns:a16="http://schemas.microsoft.com/office/drawing/2014/main" id="{00000000-0008-0000-0000-0000E4000000}"/>
            </a:ext>
          </a:extLst>
        </xdr:cNvPr>
        <xdr:cNvSpPr txBox="1"/>
      </xdr:nvSpPr>
      <xdr:spPr>
        <a:xfrm>
          <a:off x="117871875" y="512095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twoCellAnchor>
    <xdr:from>
      <xdr:col>121</xdr:col>
      <xdr:colOff>0</xdr:colOff>
      <xdr:row>29</xdr:row>
      <xdr:rowOff>911225</xdr:rowOff>
    </xdr:from>
    <xdr:to>
      <xdr:col>122</xdr:col>
      <xdr:colOff>0</xdr:colOff>
      <xdr:row>29</xdr:row>
      <xdr:rowOff>1152525</xdr:rowOff>
    </xdr:to>
    <xdr:sp macro="" textlink="">
      <xdr:nvSpPr>
        <xdr:cNvPr id="242" name="TextBox 241">
          <a:hlinkClick xmlns:r="http://schemas.openxmlformats.org/officeDocument/2006/relationships" r:id="rId15"/>
          <a:extLst>
            <a:ext uri="{FF2B5EF4-FFF2-40B4-BE49-F238E27FC236}">
              <a16:creationId xmlns:a16="http://schemas.microsoft.com/office/drawing/2014/main" id="{00000000-0008-0000-0000-0000F2000000}"/>
            </a:ext>
          </a:extLst>
        </xdr:cNvPr>
        <xdr:cNvSpPr txBox="1"/>
      </xdr:nvSpPr>
      <xdr:spPr>
        <a:xfrm>
          <a:off x="117878225" y="561181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http://ciceet.unh.edu/news/releases/spring08_progress_reports/pdf/vallino.pdf</a:t>
          </a:r>
        </a:p>
      </xdr:txBody>
    </xdr:sp>
    <xdr:clientData/>
  </xdr:twoCellAnchor>
  <xdr:twoCellAnchor>
    <xdr:from>
      <xdr:col>121</xdr:col>
      <xdr:colOff>0</xdr:colOff>
      <xdr:row>29</xdr:row>
      <xdr:rowOff>571500</xdr:rowOff>
    </xdr:from>
    <xdr:to>
      <xdr:col>122</xdr:col>
      <xdr:colOff>0</xdr:colOff>
      <xdr:row>29</xdr:row>
      <xdr:rowOff>812800</xdr:rowOff>
    </xdr:to>
    <xdr:sp macro="" textlink="">
      <xdr:nvSpPr>
        <xdr:cNvPr id="243" name="TextBox 242">
          <a:hlinkClick xmlns:r="http://schemas.openxmlformats.org/officeDocument/2006/relationships" r:id="rId31"/>
          <a:extLst>
            <a:ext uri="{FF2B5EF4-FFF2-40B4-BE49-F238E27FC236}">
              <a16:creationId xmlns:a16="http://schemas.microsoft.com/office/drawing/2014/main" id="{00000000-0008-0000-0000-0000F3000000}"/>
            </a:ext>
          </a:extLst>
        </xdr:cNvPr>
        <xdr:cNvSpPr txBox="1"/>
      </xdr:nvSpPr>
      <xdr:spPr>
        <a:xfrm>
          <a:off x="117903625" y="557784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http://link.springer.com/article/10.1007/s11252-012-0266-z</a:t>
          </a:r>
        </a:p>
      </xdr:txBody>
    </xdr:sp>
    <xdr:clientData/>
  </xdr:twoCellAnchor>
  <xdr:twoCellAnchor>
    <xdr:from>
      <xdr:col>121</xdr:col>
      <xdr:colOff>0</xdr:colOff>
      <xdr:row>29</xdr:row>
      <xdr:rowOff>104775</xdr:rowOff>
    </xdr:from>
    <xdr:to>
      <xdr:col>122</xdr:col>
      <xdr:colOff>0</xdr:colOff>
      <xdr:row>29</xdr:row>
      <xdr:rowOff>346075</xdr:rowOff>
    </xdr:to>
    <xdr:sp macro="" textlink="">
      <xdr:nvSpPr>
        <xdr:cNvPr id="244" name="TextBox 243">
          <a:hlinkClick xmlns:r="http://schemas.openxmlformats.org/officeDocument/2006/relationships" r:id="rId32"/>
          <a:extLst>
            <a:ext uri="{FF2B5EF4-FFF2-40B4-BE49-F238E27FC236}">
              <a16:creationId xmlns:a16="http://schemas.microsoft.com/office/drawing/2014/main" id="{00000000-0008-0000-0000-0000F4000000}"/>
            </a:ext>
          </a:extLst>
        </xdr:cNvPr>
        <xdr:cNvSpPr txBox="1"/>
      </xdr:nvSpPr>
      <xdr:spPr>
        <a:xfrm>
          <a:off x="117871875" y="553116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oneCellAnchor>
    <xdr:from>
      <xdr:col>2</xdr:col>
      <xdr:colOff>152399</xdr:colOff>
      <xdr:row>29</xdr:row>
      <xdr:rowOff>1384299</xdr:rowOff>
    </xdr:from>
    <xdr:ext cx="914400" cy="914400"/>
    <xdr:pic>
      <xdr:nvPicPr>
        <xdr:cNvPr id="245" name="Picture 244">
          <a:extLst>
            <a:ext uri="{FF2B5EF4-FFF2-40B4-BE49-F238E27FC236}">
              <a16:creationId xmlns:a16="http://schemas.microsoft.com/office/drawing/2014/main" id="{00000000-0008-0000-0000-0000F500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2565399" y="56591199"/>
          <a:ext cx="914400" cy="914400"/>
        </a:xfrm>
        <a:prstGeom prst="rect">
          <a:avLst/>
        </a:prstGeom>
      </xdr:spPr>
    </xdr:pic>
    <xdr:clientData/>
  </xdr:oneCellAnchor>
  <xdr:twoCellAnchor>
    <xdr:from>
      <xdr:col>121</xdr:col>
      <xdr:colOff>0</xdr:colOff>
      <xdr:row>53</xdr:row>
      <xdr:rowOff>111125</xdr:rowOff>
    </xdr:from>
    <xdr:to>
      <xdr:col>122</xdr:col>
      <xdr:colOff>0</xdr:colOff>
      <xdr:row>53</xdr:row>
      <xdr:rowOff>352425</xdr:rowOff>
    </xdr:to>
    <xdr:sp macro="" textlink="">
      <xdr:nvSpPr>
        <xdr:cNvPr id="247" name="TextBox 246">
          <a:hlinkClick xmlns:r="http://schemas.openxmlformats.org/officeDocument/2006/relationships" r:id="rId8"/>
          <a:extLst>
            <a:ext uri="{FF2B5EF4-FFF2-40B4-BE49-F238E27FC236}">
              <a16:creationId xmlns:a16="http://schemas.microsoft.com/office/drawing/2014/main" id="{00000000-0008-0000-0000-0000F7000000}"/>
            </a:ext>
          </a:extLst>
        </xdr:cNvPr>
        <xdr:cNvSpPr txBox="1"/>
      </xdr:nvSpPr>
      <xdr:spPr>
        <a:xfrm>
          <a:off x="136331325" y="1270476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37</xdr:row>
      <xdr:rowOff>276225</xdr:rowOff>
    </xdr:from>
    <xdr:to>
      <xdr:col>122</xdr:col>
      <xdr:colOff>0</xdr:colOff>
      <xdr:row>37</xdr:row>
      <xdr:rowOff>517525</xdr:rowOff>
    </xdr:to>
    <xdr:sp macro="" textlink="">
      <xdr:nvSpPr>
        <xdr:cNvPr id="246" name="TextBox 245">
          <a:hlinkClick xmlns:r="http://schemas.openxmlformats.org/officeDocument/2006/relationships" r:id="rId11"/>
          <a:extLst>
            <a:ext uri="{FF2B5EF4-FFF2-40B4-BE49-F238E27FC236}">
              <a16:creationId xmlns:a16="http://schemas.microsoft.com/office/drawing/2014/main" id="{00000000-0008-0000-0000-0000F6000000}"/>
            </a:ext>
          </a:extLst>
        </xdr:cNvPr>
        <xdr:cNvSpPr txBox="1"/>
      </xdr:nvSpPr>
      <xdr:spPr>
        <a:xfrm>
          <a:off x="136876631" y="76678631"/>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37</xdr:row>
      <xdr:rowOff>587375</xdr:rowOff>
    </xdr:from>
    <xdr:to>
      <xdr:col>122</xdr:col>
      <xdr:colOff>0</xdr:colOff>
      <xdr:row>37</xdr:row>
      <xdr:rowOff>828675</xdr:rowOff>
    </xdr:to>
    <xdr:sp macro="" textlink="">
      <xdr:nvSpPr>
        <xdr:cNvPr id="248" name="TextBox 247">
          <a:hlinkClick xmlns:r="http://schemas.openxmlformats.org/officeDocument/2006/relationships" r:id="rId12"/>
          <a:extLst>
            <a:ext uri="{FF2B5EF4-FFF2-40B4-BE49-F238E27FC236}">
              <a16:creationId xmlns:a16="http://schemas.microsoft.com/office/drawing/2014/main" id="{00000000-0008-0000-0000-0000F8000000}"/>
            </a:ext>
          </a:extLst>
        </xdr:cNvPr>
        <xdr:cNvSpPr txBox="1"/>
      </xdr:nvSpPr>
      <xdr:spPr>
        <a:xfrm>
          <a:off x="136870281" y="76989781"/>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http://richearthinstitute.org/?page_id=739</a:t>
          </a:r>
        </a:p>
      </xdr:txBody>
    </xdr:sp>
    <xdr:clientData/>
  </xdr:twoCellAnchor>
  <xdr:twoCellAnchor>
    <xdr:from>
      <xdr:col>121</xdr:col>
      <xdr:colOff>0</xdr:colOff>
      <xdr:row>37</xdr:row>
      <xdr:rowOff>1079500</xdr:rowOff>
    </xdr:from>
    <xdr:to>
      <xdr:col>122</xdr:col>
      <xdr:colOff>0</xdr:colOff>
      <xdr:row>37</xdr:row>
      <xdr:rowOff>1320800</xdr:rowOff>
    </xdr:to>
    <xdr:sp macro="" textlink="">
      <xdr:nvSpPr>
        <xdr:cNvPr id="249" name="TextBox 248">
          <a:hlinkClick xmlns:r="http://schemas.openxmlformats.org/officeDocument/2006/relationships" r:id="rId22"/>
          <a:extLst>
            <a:ext uri="{FF2B5EF4-FFF2-40B4-BE49-F238E27FC236}">
              <a16:creationId xmlns:a16="http://schemas.microsoft.com/office/drawing/2014/main" id="{00000000-0008-0000-0000-0000F9000000}"/>
            </a:ext>
          </a:extLst>
        </xdr:cNvPr>
        <xdr:cNvSpPr txBox="1"/>
      </xdr:nvSpPr>
      <xdr:spPr>
        <a:xfrm>
          <a:off x="136863931" y="77481906"/>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0</xdr:colOff>
      <xdr:row>37</xdr:row>
      <xdr:rowOff>1384300</xdr:rowOff>
    </xdr:from>
    <xdr:to>
      <xdr:col>122</xdr:col>
      <xdr:colOff>0</xdr:colOff>
      <xdr:row>37</xdr:row>
      <xdr:rowOff>1625600</xdr:rowOff>
    </xdr:to>
    <xdr:sp macro="" textlink="">
      <xdr:nvSpPr>
        <xdr:cNvPr id="250" name="TextBox 249">
          <a:hlinkClick xmlns:r="http://schemas.openxmlformats.org/officeDocument/2006/relationships" r:id="rId23"/>
          <a:extLst>
            <a:ext uri="{FF2B5EF4-FFF2-40B4-BE49-F238E27FC236}">
              <a16:creationId xmlns:a16="http://schemas.microsoft.com/office/drawing/2014/main" id="{00000000-0008-0000-0000-0000FA000000}"/>
            </a:ext>
          </a:extLst>
        </xdr:cNvPr>
        <xdr:cNvSpPr txBox="1"/>
      </xdr:nvSpPr>
      <xdr:spPr>
        <a:xfrm>
          <a:off x="136873456" y="77786706"/>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http://www.ecovita.net/</a:t>
          </a:r>
        </a:p>
      </xdr:txBody>
    </xdr:sp>
    <xdr:clientData/>
  </xdr:twoCellAnchor>
  <xdr:oneCellAnchor>
    <xdr:from>
      <xdr:col>2</xdr:col>
      <xdr:colOff>152399</xdr:colOff>
      <xdr:row>37</xdr:row>
      <xdr:rowOff>634999</xdr:rowOff>
    </xdr:from>
    <xdr:ext cx="914400" cy="914400"/>
    <xdr:pic>
      <xdr:nvPicPr>
        <xdr:cNvPr id="251" name="Picture 250">
          <a:extLst>
            <a:ext uri="{FF2B5EF4-FFF2-40B4-BE49-F238E27FC236}">
              <a16:creationId xmlns:a16="http://schemas.microsoft.com/office/drawing/2014/main" id="{00000000-0008-0000-0000-0000FB00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2581274" y="77037405"/>
          <a:ext cx="914400" cy="914400"/>
        </a:xfrm>
        <a:prstGeom prst="rect">
          <a:avLst/>
        </a:prstGeom>
      </xdr:spPr>
    </xdr:pic>
    <xdr:clientData/>
  </xdr:oneCellAnchor>
  <xdr:twoCellAnchor editAs="oneCell">
    <xdr:from>
      <xdr:col>2</xdr:col>
      <xdr:colOff>149678</xdr:colOff>
      <xdr:row>25</xdr:row>
      <xdr:rowOff>272143</xdr:rowOff>
    </xdr:from>
    <xdr:to>
      <xdr:col>2</xdr:col>
      <xdr:colOff>1064078</xdr:colOff>
      <xdr:row>25</xdr:row>
      <xdr:rowOff>1186543</xdr:rowOff>
    </xdr:to>
    <xdr:pic>
      <xdr:nvPicPr>
        <xdr:cNvPr id="252" name="Picture 251">
          <a:extLst>
            <a:ext uri="{FF2B5EF4-FFF2-40B4-BE49-F238E27FC236}">
              <a16:creationId xmlns:a16="http://schemas.microsoft.com/office/drawing/2014/main" id="{00000000-0008-0000-0000-0000FC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2571749" y="42059679"/>
          <a:ext cx="914400" cy="914400"/>
        </a:xfrm>
        <a:prstGeom prst="rect">
          <a:avLst/>
        </a:prstGeom>
      </xdr:spPr>
    </xdr:pic>
    <xdr:clientData/>
  </xdr:twoCellAnchor>
  <xdr:twoCellAnchor editAs="oneCell">
    <xdr:from>
      <xdr:col>2</xdr:col>
      <xdr:colOff>149679</xdr:colOff>
      <xdr:row>46</xdr:row>
      <xdr:rowOff>625928</xdr:rowOff>
    </xdr:from>
    <xdr:to>
      <xdr:col>2</xdr:col>
      <xdr:colOff>1064079</xdr:colOff>
      <xdr:row>46</xdr:row>
      <xdr:rowOff>1540328</xdr:rowOff>
    </xdr:to>
    <xdr:pic>
      <xdr:nvPicPr>
        <xdr:cNvPr id="255" name="Picture 254">
          <a:extLst>
            <a:ext uri="{FF2B5EF4-FFF2-40B4-BE49-F238E27FC236}">
              <a16:creationId xmlns:a16="http://schemas.microsoft.com/office/drawing/2014/main" id="{00000000-0008-0000-0000-0000FF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2571750" y="110694107"/>
          <a:ext cx="914400" cy="914400"/>
        </a:xfrm>
        <a:prstGeom prst="rect">
          <a:avLst/>
        </a:prstGeom>
      </xdr:spPr>
    </xdr:pic>
    <xdr:clientData/>
  </xdr:twoCellAnchor>
  <xdr:twoCellAnchor>
    <xdr:from>
      <xdr:col>121</xdr:col>
      <xdr:colOff>0</xdr:colOff>
      <xdr:row>14</xdr:row>
      <xdr:rowOff>273050</xdr:rowOff>
    </xdr:from>
    <xdr:to>
      <xdr:col>122</xdr:col>
      <xdr:colOff>0</xdr:colOff>
      <xdr:row>14</xdr:row>
      <xdr:rowOff>514350</xdr:rowOff>
    </xdr:to>
    <xdr:sp macro="" textlink="">
      <xdr:nvSpPr>
        <xdr:cNvPr id="205" name="TextBox 204">
          <a:hlinkClick xmlns:r="http://schemas.openxmlformats.org/officeDocument/2006/relationships" r:id="rId2"/>
          <a:extLst>
            <a:ext uri="{FF2B5EF4-FFF2-40B4-BE49-F238E27FC236}">
              <a16:creationId xmlns:a16="http://schemas.microsoft.com/office/drawing/2014/main" id="{00000000-0008-0000-0000-0000CD000000}"/>
            </a:ext>
          </a:extLst>
        </xdr:cNvPr>
        <xdr:cNvSpPr txBox="1"/>
      </xdr:nvSpPr>
      <xdr:spPr>
        <a:xfrm>
          <a:off x="2730500" y="260667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0</xdr:colOff>
      <xdr:row>59</xdr:row>
      <xdr:rowOff>117475</xdr:rowOff>
    </xdr:from>
    <xdr:to>
      <xdr:col>122</xdr:col>
      <xdr:colOff>0</xdr:colOff>
      <xdr:row>59</xdr:row>
      <xdr:rowOff>358775</xdr:rowOff>
    </xdr:to>
    <xdr:sp macro="" textlink="">
      <xdr:nvSpPr>
        <xdr:cNvPr id="206" name="TextBox 205">
          <a:hlinkClick xmlns:r="http://schemas.openxmlformats.org/officeDocument/2006/relationships" r:id="rId8"/>
          <a:extLst>
            <a:ext uri="{FF2B5EF4-FFF2-40B4-BE49-F238E27FC236}">
              <a16:creationId xmlns:a16="http://schemas.microsoft.com/office/drawing/2014/main" id="{00000000-0008-0000-0000-0000CE000000}"/>
            </a:ext>
          </a:extLst>
        </xdr:cNvPr>
        <xdr:cNvSpPr txBox="1"/>
      </xdr:nvSpPr>
      <xdr:spPr>
        <a:xfrm>
          <a:off x="2730500" y="1248949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43</xdr:row>
      <xdr:rowOff>263525</xdr:rowOff>
    </xdr:from>
    <xdr:to>
      <xdr:col>122</xdr:col>
      <xdr:colOff>0</xdr:colOff>
      <xdr:row>43</xdr:row>
      <xdr:rowOff>504825</xdr:rowOff>
    </xdr:to>
    <xdr:sp macro="" textlink="">
      <xdr:nvSpPr>
        <xdr:cNvPr id="207" name="TextBox 206">
          <a:hlinkClick xmlns:r="http://schemas.openxmlformats.org/officeDocument/2006/relationships" r:id="rId10"/>
          <a:extLst>
            <a:ext uri="{FF2B5EF4-FFF2-40B4-BE49-F238E27FC236}">
              <a16:creationId xmlns:a16="http://schemas.microsoft.com/office/drawing/2014/main" id="{00000000-0008-0000-0000-0000CF000000}"/>
            </a:ext>
          </a:extLst>
        </xdr:cNvPr>
        <xdr:cNvSpPr txBox="1"/>
      </xdr:nvSpPr>
      <xdr:spPr>
        <a:xfrm>
          <a:off x="2730500" y="956278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http://www.mass.gov/envir/smart_growth_toolkit/pages/mod-tdr.html</a:t>
          </a:r>
        </a:p>
      </xdr:txBody>
    </xdr:sp>
    <xdr:clientData/>
  </xdr:twoCellAnchor>
  <xdr:twoCellAnchor>
    <xdr:from>
      <xdr:col>121</xdr:col>
      <xdr:colOff>0</xdr:colOff>
      <xdr:row>38</xdr:row>
      <xdr:rowOff>276225</xdr:rowOff>
    </xdr:from>
    <xdr:to>
      <xdr:col>122</xdr:col>
      <xdr:colOff>0</xdr:colOff>
      <xdr:row>38</xdr:row>
      <xdr:rowOff>517525</xdr:rowOff>
    </xdr:to>
    <xdr:sp macro="" textlink="">
      <xdr:nvSpPr>
        <xdr:cNvPr id="208" name="TextBox 207">
          <a:hlinkClick xmlns:r="http://schemas.openxmlformats.org/officeDocument/2006/relationships" r:id="rId11"/>
          <a:extLst>
            <a:ext uri="{FF2B5EF4-FFF2-40B4-BE49-F238E27FC236}">
              <a16:creationId xmlns:a16="http://schemas.microsoft.com/office/drawing/2014/main" id="{00000000-0008-0000-0000-0000D0000000}"/>
            </a:ext>
          </a:extLst>
        </xdr:cNvPr>
        <xdr:cNvSpPr txBox="1"/>
      </xdr:nvSpPr>
      <xdr:spPr>
        <a:xfrm>
          <a:off x="2730500" y="805783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36</xdr:row>
      <xdr:rowOff>95250</xdr:rowOff>
    </xdr:from>
    <xdr:to>
      <xdr:col>122</xdr:col>
      <xdr:colOff>0</xdr:colOff>
      <xdr:row>36</xdr:row>
      <xdr:rowOff>336550</xdr:rowOff>
    </xdr:to>
    <xdr:sp macro="" textlink="">
      <xdr:nvSpPr>
        <xdr:cNvPr id="209" name="TextBox 208">
          <a:hlinkClick xmlns:r="http://schemas.openxmlformats.org/officeDocument/2006/relationships" r:id="rId12"/>
          <a:extLst>
            <a:ext uri="{FF2B5EF4-FFF2-40B4-BE49-F238E27FC236}">
              <a16:creationId xmlns:a16="http://schemas.microsoft.com/office/drawing/2014/main" id="{00000000-0008-0000-0000-0000D1000000}"/>
            </a:ext>
          </a:extLst>
        </xdr:cNvPr>
        <xdr:cNvSpPr txBox="1"/>
      </xdr:nvSpPr>
      <xdr:spPr>
        <a:xfrm>
          <a:off x="2730500" y="761301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http://richearthinstitute.org/?page_id=739</a:t>
          </a:r>
        </a:p>
      </xdr:txBody>
    </xdr:sp>
    <xdr:clientData/>
  </xdr:twoCellAnchor>
  <xdr:twoCellAnchor>
    <xdr:from>
      <xdr:col>121</xdr:col>
      <xdr:colOff>0</xdr:colOff>
      <xdr:row>34</xdr:row>
      <xdr:rowOff>1568450</xdr:rowOff>
    </xdr:from>
    <xdr:to>
      <xdr:col>122</xdr:col>
      <xdr:colOff>0</xdr:colOff>
      <xdr:row>34</xdr:row>
      <xdr:rowOff>1809750</xdr:rowOff>
    </xdr:to>
    <xdr:sp macro="" textlink="">
      <xdr:nvSpPr>
        <xdr:cNvPr id="211" name="TextBox 210">
          <a:hlinkClick xmlns:r="http://schemas.openxmlformats.org/officeDocument/2006/relationships" r:id="rId21"/>
          <a:extLst>
            <a:ext uri="{FF2B5EF4-FFF2-40B4-BE49-F238E27FC236}">
              <a16:creationId xmlns:a16="http://schemas.microsoft.com/office/drawing/2014/main" id="{00000000-0008-0000-0000-0000D3000000}"/>
            </a:ext>
          </a:extLst>
        </xdr:cNvPr>
        <xdr:cNvSpPr txBox="1"/>
      </xdr:nvSpPr>
      <xdr:spPr>
        <a:xfrm>
          <a:off x="2730500" y="713041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http://www.ecosanres.org/pdf_files/ToiletsThatMakeCompost.pdf</a:t>
          </a:r>
        </a:p>
      </xdr:txBody>
    </xdr:sp>
    <xdr:clientData/>
  </xdr:twoCellAnchor>
  <xdr:twoCellAnchor>
    <xdr:from>
      <xdr:col>121</xdr:col>
      <xdr:colOff>0</xdr:colOff>
      <xdr:row>38</xdr:row>
      <xdr:rowOff>1079500</xdr:rowOff>
    </xdr:from>
    <xdr:to>
      <xdr:col>122</xdr:col>
      <xdr:colOff>0</xdr:colOff>
      <xdr:row>38</xdr:row>
      <xdr:rowOff>1320800</xdr:rowOff>
    </xdr:to>
    <xdr:sp macro="" textlink="">
      <xdr:nvSpPr>
        <xdr:cNvPr id="212" name="TextBox 211">
          <a:hlinkClick xmlns:r="http://schemas.openxmlformats.org/officeDocument/2006/relationships" r:id="rId22"/>
          <a:extLst>
            <a:ext uri="{FF2B5EF4-FFF2-40B4-BE49-F238E27FC236}">
              <a16:creationId xmlns:a16="http://schemas.microsoft.com/office/drawing/2014/main" id="{00000000-0008-0000-0000-0000D4000000}"/>
            </a:ext>
          </a:extLst>
        </xdr:cNvPr>
        <xdr:cNvSpPr txBox="1"/>
      </xdr:nvSpPr>
      <xdr:spPr>
        <a:xfrm>
          <a:off x="2730500" y="813816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0</xdr:colOff>
      <xdr:row>34</xdr:row>
      <xdr:rowOff>923925</xdr:rowOff>
    </xdr:from>
    <xdr:to>
      <xdr:col>122</xdr:col>
      <xdr:colOff>0</xdr:colOff>
      <xdr:row>34</xdr:row>
      <xdr:rowOff>1165225</xdr:rowOff>
    </xdr:to>
    <xdr:sp macro="" textlink="">
      <xdr:nvSpPr>
        <xdr:cNvPr id="213" name="TextBox 212">
          <a:hlinkClick xmlns:r="http://schemas.openxmlformats.org/officeDocument/2006/relationships" r:id="rId29"/>
          <a:extLst>
            <a:ext uri="{FF2B5EF4-FFF2-40B4-BE49-F238E27FC236}">
              <a16:creationId xmlns:a16="http://schemas.microsoft.com/office/drawing/2014/main" id="{00000000-0008-0000-0000-0000D5000000}"/>
            </a:ext>
          </a:extLst>
        </xdr:cNvPr>
        <xdr:cNvSpPr txBox="1"/>
      </xdr:nvSpPr>
      <xdr:spPr>
        <a:xfrm>
          <a:off x="2730500" y="706596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http://water.epa.gov/aboutow/owm/upload/2005_07_14_comp.pdf</a:t>
          </a:r>
        </a:p>
      </xdr:txBody>
    </xdr:sp>
    <xdr:clientData/>
  </xdr:twoCellAnchor>
  <xdr:twoCellAnchor>
    <xdr:from>
      <xdr:col>121</xdr:col>
      <xdr:colOff>0</xdr:colOff>
      <xdr:row>30</xdr:row>
      <xdr:rowOff>104775</xdr:rowOff>
    </xdr:from>
    <xdr:to>
      <xdr:col>122</xdr:col>
      <xdr:colOff>0</xdr:colOff>
      <xdr:row>30</xdr:row>
      <xdr:rowOff>346075</xdr:rowOff>
    </xdr:to>
    <xdr:sp macro="" textlink="">
      <xdr:nvSpPr>
        <xdr:cNvPr id="214" name="TextBox 213">
          <a:hlinkClick xmlns:r="http://schemas.openxmlformats.org/officeDocument/2006/relationships" r:id="rId32"/>
          <a:extLst>
            <a:ext uri="{FF2B5EF4-FFF2-40B4-BE49-F238E27FC236}">
              <a16:creationId xmlns:a16="http://schemas.microsoft.com/office/drawing/2014/main" id="{00000000-0008-0000-0000-0000D6000000}"/>
            </a:ext>
          </a:extLst>
        </xdr:cNvPr>
        <xdr:cNvSpPr txBox="1"/>
      </xdr:nvSpPr>
      <xdr:spPr>
        <a:xfrm>
          <a:off x="2730500" y="629316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twoCellAnchor>
    <xdr:from>
      <xdr:col>121</xdr:col>
      <xdr:colOff>0</xdr:colOff>
      <xdr:row>22</xdr:row>
      <xdr:rowOff>1162050</xdr:rowOff>
    </xdr:from>
    <xdr:to>
      <xdr:col>122</xdr:col>
      <xdr:colOff>0</xdr:colOff>
      <xdr:row>27</xdr:row>
      <xdr:rowOff>920750</xdr:rowOff>
    </xdr:to>
    <xdr:sp macro="" textlink="">
      <xdr:nvSpPr>
        <xdr:cNvPr id="215" name="TextBox 214">
          <a:hlinkClick xmlns:r="http://schemas.openxmlformats.org/officeDocument/2006/relationships" r:id="rId33"/>
          <a:extLst>
            <a:ext uri="{FF2B5EF4-FFF2-40B4-BE49-F238E27FC236}">
              <a16:creationId xmlns:a16="http://schemas.microsoft.com/office/drawing/2014/main" id="{00000000-0008-0000-0000-0000D7000000}"/>
            </a:ext>
          </a:extLst>
        </xdr:cNvPr>
        <xdr:cNvSpPr txBox="1"/>
      </xdr:nvSpPr>
      <xdr:spPr>
        <a:xfrm>
          <a:off x="2730500" y="550100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http://www.epa.gov/tio/download/remed/phytotechnologies-factsheet.pdf</a:t>
          </a:r>
        </a:p>
      </xdr:txBody>
    </xdr:sp>
    <xdr:clientData/>
  </xdr:twoCellAnchor>
  <xdr:twoCellAnchor>
    <xdr:from>
      <xdr:col>121</xdr:col>
      <xdr:colOff>0</xdr:colOff>
      <xdr:row>6</xdr:row>
      <xdr:rowOff>409575</xdr:rowOff>
    </xdr:from>
    <xdr:to>
      <xdr:col>122</xdr:col>
      <xdr:colOff>0</xdr:colOff>
      <xdr:row>6</xdr:row>
      <xdr:rowOff>650875</xdr:rowOff>
    </xdr:to>
    <xdr:sp macro="" textlink="">
      <xdr:nvSpPr>
        <xdr:cNvPr id="216" name="TextBox 215">
          <a:hlinkClick xmlns:r="http://schemas.openxmlformats.org/officeDocument/2006/relationships" r:id="rId34"/>
          <a:extLst>
            <a:ext uri="{FF2B5EF4-FFF2-40B4-BE49-F238E27FC236}">
              <a16:creationId xmlns:a16="http://schemas.microsoft.com/office/drawing/2014/main" id="{00000000-0008-0000-0000-0000D8000000}"/>
            </a:ext>
          </a:extLst>
        </xdr:cNvPr>
        <xdr:cNvSpPr txBox="1"/>
      </xdr:nvSpPr>
      <xdr:spPr>
        <a:xfrm>
          <a:off x="2730500" y="16287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http://water.epa.gov/type/wetlands/restore/upload/constructed-wetlands-design-manual.pdf</a:t>
          </a:r>
        </a:p>
      </xdr:txBody>
    </xdr:sp>
    <xdr:clientData/>
  </xdr:twoCellAnchor>
  <xdr:twoCellAnchor>
    <xdr:from>
      <xdr:col>121</xdr:col>
      <xdr:colOff>0</xdr:colOff>
      <xdr:row>7</xdr:row>
      <xdr:rowOff>2070100</xdr:rowOff>
    </xdr:from>
    <xdr:to>
      <xdr:col>122</xdr:col>
      <xdr:colOff>0</xdr:colOff>
      <xdr:row>7</xdr:row>
      <xdr:rowOff>2311400</xdr:rowOff>
    </xdr:to>
    <xdr:sp macro="" textlink="">
      <xdr:nvSpPr>
        <xdr:cNvPr id="222" name="TextBox 221">
          <a:hlinkClick xmlns:r="http://schemas.openxmlformats.org/officeDocument/2006/relationships" r:id="rId39"/>
          <a:extLst>
            <a:ext uri="{FF2B5EF4-FFF2-40B4-BE49-F238E27FC236}">
              <a16:creationId xmlns:a16="http://schemas.microsoft.com/office/drawing/2014/main" id="{00000000-0008-0000-0000-0000DE000000}"/>
            </a:ext>
          </a:extLst>
        </xdr:cNvPr>
        <xdr:cNvSpPr txBox="1"/>
      </xdr:nvSpPr>
      <xdr:spPr>
        <a:xfrm>
          <a:off x="2730500" y="84836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http://water.epa.gov/infrastructure/septic/upload/wetlands-subsurface_flow.pdf</a:t>
          </a:r>
        </a:p>
      </xdr:txBody>
    </xdr:sp>
    <xdr:clientData/>
  </xdr:twoCellAnchor>
  <xdr:twoCellAnchor>
    <xdr:from>
      <xdr:col>121</xdr:col>
      <xdr:colOff>0</xdr:colOff>
      <xdr:row>23</xdr:row>
      <xdr:rowOff>774700</xdr:rowOff>
    </xdr:from>
    <xdr:to>
      <xdr:col>122</xdr:col>
      <xdr:colOff>0</xdr:colOff>
      <xdr:row>23</xdr:row>
      <xdr:rowOff>1016000</xdr:rowOff>
    </xdr:to>
    <xdr:sp macro="" textlink="">
      <xdr:nvSpPr>
        <xdr:cNvPr id="226" name="TextBox 225">
          <a:hlinkClick xmlns:r="http://schemas.openxmlformats.org/officeDocument/2006/relationships" r:id="rId40"/>
          <a:extLst>
            <a:ext uri="{FF2B5EF4-FFF2-40B4-BE49-F238E27FC236}">
              <a16:creationId xmlns:a16="http://schemas.microsoft.com/office/drawing/2014/main" id="{00000000-0008-0000-0000-0000E2000000}"/>
            </a:ext>
          </a:extLst>
        </xdr:cNvPr>
        <xdr:cNvSpPr txBox="1"/>
      </xdr:nvSpPr>
      <xdr:spPr>
        <a:xfrm>
          <a:off x="2730500" y="382651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24</xdr:row>
      <xdr:rowOff>762000</xdr:rowOff>
    </xdr:from>
    <xdr:to>
      <xdr:col>122</xdr:col>
      <xdr:colOff>0</xdr:colOff>
      <xdr:row>24</xdr:row>
      <xdr:rowOff>1003300</xdr:rowOff>
    </xdr:to>
    <xdr:sp macro="" textlink="">
      <xdr:nvSpPr>
        <xdr:cNvPr id="230" name="TextBox 229">
          <a:hlinkClick xmlns:r="http://schemas.openxmlformats.org/officeDocument/2006/relationships" r:id="rId40"/>
          <a:extLst>
            <a:ext uri="{FF2B5EF4-FFF2-40B4-BE49-F238E27FC236}">
              <a16:creationId xmlns:a16="http://schemas.microsoft.com/office/drawing/2014/main" id="{00000000-0008-0000-0000-0000E6000000}"/>
            </a:ext>
          </a:extLst>
        </xdr:cNvPr>
        <xdr:cNvSpPr txBox="1"/>
      </xdr:nvSpPr>
      <xdr:spPr>
        <a:xfrm>
          <a:off x="2730500" y="434467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26</xdr:row>
      <xdr:rowOff>762000</xdr:rowOff>
    </xdr:from>
    <xdr:to>
      <xdr:col>122</xdr:col>
      <xdr:colOff>0</xdr:colOff>
      <xdr:row>26</xdr:row>
      <xdr:rowOff>1003300</xdr:rowOff>
    </xdr:to>
    <xdr:sp macro="" textlink="">
      <xdr:nvSpPr>
        <xdr:cNvPr id="253" name="TextBox 252">
          <a:hlinkClick xmlns:r="http://schemas.openxmlformats.org/officeDocument/2006/relationships" r:id="rId40"/>
          <a:extLst>
            <a:ext uri="{FF2B5EF4-FFF2-40B4-BE49-F238E27FC236}">
              <a16:creationId xmlns:a16="http://schemas.microsoft.com/office/drawing/2014/main" id="{00000000-0008-0000-0000-0000FD000000}"/>
            </a:ext>
          </a:extLst>
        </xdr:cNvPr>
        <xdr:cNvSpPr txBox="1"/>
      </xdr:nvSpPr>
      <xdr:spPr>
        <a:xfrm>
          <a:off x="2730500" y="496570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26</xdr:row>
      <xdr:rowOff>104775</xdr:rowOff>
    </xdr:from>
    <xdr:to>
      <xdr:col>122</xdr:col>
      <xdr:colOff>0</xdr:colOff>
      <xdr:row>26</xdr:row>
      <xdr:rowOff>346075</xdr:rowOff>
    </xdr:to>
    <xdr:sp macro="" textlink="">
      <xdr:nvSpPr>
        <xdr:cNvPr id="254" name="TextBox 253">
          <a:hlinkClick xmlns:r="http://schemas.openxmlformats.org/officeDocument/2006/relationships" r:id="rId32"/>
          <a:extLst>
            <a:ext uri="{FF2B5EF4-FFF2-40B4-BE49-F238E27FC236}">
              <a16:creationId xmlns:a16="http://schemas.microsoft.com/office/drawing/2014/main" id="{00000000-0008-0000-0000-0000FE000000}"/>
            </a:ext>
          </a:extLst>
        </xdr:cNvPr>
        <xdr:cNvSpPr txBox="1"/>
      </xdr:nvSpPr>
      <xdr:spPr>
        <a:xfrm>
          <a:off x="2730500" y="659796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twoCellAnchor>
    <xdr:from>
      <xdr:col>121</xdr:col>
      <xdr:colOff>0</xdr:colOff>
      <xdr:row>29</xdr:row>
      <xdr:rowOff>104775</xdr:rowOff>
    </xdr:from>
    <xdr:to>
      <xdr:col>122</xdr:col>
      <xdr:colOff>0</xdr:colOff>
      <xdr:row>29</xdr:row>
      <xdr:rowOff>346075</xdr:rowOff>
    </xdr:to>
    <xdr:sp macro="" textlink="">
      <xdr:nvSpPr>
        <xdr:cNvPr id="256" name="TextBox 255">
          <a:hlinkClick xmlns:r="http://schemas.openxmlformats.org/officeDocument/2006/relationships" r:id="rId32"/>
          <a:extLst>
            <a:ext uri="{FF2B5EF4-FFF2-40B4-BE49-F238E27FC236}">
              <a16:creationId xmlns:a16="http://schemas.microsoft.com/office/drawing/2014/main" id="{00000000-0008-0000-0000-000000010000}"/>
            </a:ext>
          </a:extLst>
        </xdr:cNvPr>
        <xdr:cNvSpPr txBox="1"/>
      </xdr:nvSpPr>
      <xdr:spPr>
        <a:xfrm>
          <a:off x="2730500" y="598836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twoCellAnchor>
    <xdr:from>
      <xdr:col>121</xdr:col>
      <xdr:colOff>0</xdr:colOff>
      <xdr:row>37</xdr:row>
      <xdr:rowOff>276225</xdr:rowOff>
    </xdr:from>
    <xdr:to>
      <xdr:col>122</xdr:col>
      <xdr:colOff>0</xdr:colOff>
      <xdr:row>37</xdr:row>
      <xdr:rowOff>517525</xdr:rowOff>
    </xdr:to>
    <xdr:sp macro="" textlink="">
      <xdr:nvSpPr>
        <xdr:cNvPr id="257" name="TextBox 256">
          <a:hlinkClick xmlns:r="http://schemas.openxmlformats.org/officeDocument/2006/relationships" r:id="rId11"/>
          <a:extLst>
            <a:ext uri="{FF2B5EF4-FFF2-40B4-BE49-F238E27FC236}">
              <a16:creationId xmlns:a16="http://schemas.microsoft.com/office/drawing/2014/main" id="{00000000-0008-0000-0000-000001010000}"/>
            </a:ext>
          </a:extLst>
        </xdr:cNvPr>
        <xdr:cNvSpPr txBox="1"/>
      </xdr:nvSpPr>
      <xdr:spPr>
        <a:xfrm>
          <a:off x="2730500" y="773271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37</xdr:row>
      <xdr:rowOff>1079500</xdr:rowOff>
    </xdr:from>
    <xdr:to>
      <xdr:col>122</xdr:col>
      <xdr:colOff>0</xdr:colOff>
      <xdr:row>37</xdr:row>
      <xdr:rowOff>1320800</xdr:rowOff>
    </xdr:to>
    <xdr:sp macro="" textlink="">
      <xdr:nvSpPr>
        <xdr:cNvPr id="258" name="TextBox 257">
          <a:hlinkClick xmlns:r="http://schemas.openxmlformats.org/officeDocument/2006/relationships" r:id="rId22"/>
          <a:extLst>
            <a:ext uri="{FF2B5EF4-FFF2-40B4-BE49-F238E27FC236}">
              <a16:creationId xmlns:a16="http://schemas.microsoft.com/office/drawing/2014/main" id="{00000000-0008-0000-0000-000002010000}"/>
            </a:ext>
          </a:extLst>
        </xdr:cNvPr>
        <xdr:cNvSpPr txBox="1"/>
      </xdr:nvSpPr>
      <xdr:spPr>
        <a:xfrm>
          <a:off x="2730500" y="781304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0</xdr:colOff>
      <xdr:row>59</xdr:row>
      <xdr:rowOff>117475</xdr:rowOff>
    </xdr:from>
    <xdr:to>
      <xdr:col>121</xdr:col>
      <xdr:colOff>0</xdr:colOff>
      <xdr:row>59</xdr:row>
      <xdr:rowOff>358775</xdr:rowOff>
    </xdr:to>
    <xdr:sp macro="" textlink="">
      <xdr:nvSpPr>
        <xdr:cNvPr id="259" name="TextBox 258">
          <a:hlinkClick xmlns:r="http://schemas.openxmlformats.org/officeDocument/2006/relationships" r:id="rId8"/>
          <a:extLst>
            <a:ext uri="{FF2B5EF4-FFF2-40B4-BE49-F238E27FC236}">
              <a16:creationId xmlns:a16="http://schemas.microsoft.com/office/drawing/2014/main" id="{00000000-0008-0000-0000-000003010000}"/>
            </a:ext>
          </a:extLst>
        </xdr:cNvPr>
        <xdr:cNvSpPr txBox="1"/>
      </xdr:nvSpPr>
      <xdr:spPr>
        <a:xfrm>
          <a:off x="2730500" y="1218469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43</xdr:row>
      <xdr:rowOff>263525</xdr:rowOff>
    </xdr:from>
    <xdr:to>
      <xdr:col>121</xdr:col>
      <xdr:colOff>0</xdr:colOff>
      <xdr:row>43</xdr:row>
      <xdr:rowOff>504825</xdr:rowOff>
    </xdr:to>
    <xdr:sp macro="" textlink="">
      <xdr:nvSpPr>
        <xdr:cNvPr id="260" name="TextBox 259">
          <a:hlinkClick xmlns:r="http://schemas.openxmlformats.org/officeDocument/2006/relationships" r:id="rId10"/>
          <a:extLst>
            <a:ext uri="{FF2B5EF4-FFF2-40B4-BE49-F238E27FC236}">
              <a16:creationId xmlns:a16="http://schemas.microsoft.com/office/drawing/2014/main" id="{00000000-0008-0000-0000-000004010000}"/>
            </a:ext>
          </a:extLst>
        </xdr:cNvPr>
        <xdr:cNvSpPr txBox="1"/>
      </xdr:nvSpPr>
      <xdr:spPr>
        <a:xfrm>
          <a:off x="2730500" y="925798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http://www.mass.gov/envir/smart_growth_toolkit/pages/mod-tdr.html</a:t>
          </a:r>
        </a:p>
      </xdr:txBody>
    </xdr:sp>
    <xdr:clientData/>
  </xdr:twoCellAnchor>
  <xdr:twoCellAnchor>
    <xdr:from>
      <xdr:col>121</xdr:col>
      <xdr:colOff>0</xdr:colOff>
      <xdr:row>38</xdr:row>
      <xdr:rowOff>276225</xdr:rowOff>
    </xdr:from>
    <xdr:to>
      <xdr:col>121</xdr:col>
      <xdr:colOff>0</xdr:colOff>
      <xdr:row>38</xdr:row>
      <xdr:rowOff>517525</xdr:rowOff>
    </xdr:to>
    <xdr:sp macro="" textlink="">
      <xdr:nvSpPr>
        <xdr:cNvPr id="261" name="TextBox 260">
          <a:hlinkClick xmlns:r="http://schemas.openxmlformats.org/officeDocument/2006/relationships" r:id="rId11"/>
          <a:extLst>
            <a:ext uri="{FF2B5EF4-FFF2-40B4-BE49-F238E27FC236}">
              <a16:creationId xmlns:a16="http://schemas.microsoft.com/office/drawing/2014/main" id="{00000000-0008-0000-0000-000005010000}"/>
            </a:ext>
          </a:extLst>
        </xdr:cNvPr>
        <xdr:cNvSpPr txBox="1"/>
      </xdr:nvSpPr>
      <xdr:spPr>
        <a:xfrm>
          <a:off x="2730500" y="775303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36</xdr:row>
      <xdr:rowOff>95250</xdr:rowOff>
    </xdr:from>
    <xdr:to>
      <xdr:col>121</xdr:col>
      <xdr:colOff>0</xdr:colOff>
      <xdr:row>36</xdr:row>
      <xdr:rowOff>336550</xdr:rowOff>
    </xdr:to>
    <xdr:sp macro="" textlink="">
      <xdr:nvSpPr>
        <xdr:cNvPr id="262" name="TextBox 261">
          <a:hlinkClick xmlns:r="http://schemas.openxmlformats.org/officeDocument/2006/relationships" r:id="rId12"/>
          <a:extLst>
            <a:ext uri="{FF2B5EF4-FFF2-40B4-BE49-F238E27FC236}">
              <a16:creationId xmlns:a16="http://schemas.microsoft.com/office/drawing/2014/main" id="{00000000-0008-0000-0000-000006010000}"/>
            </a:ext>
          </a:extLst>
        </xdr:cNvPr>
        <xdr:cNvSpPr txBox="1"/>
      </xdr:nvSpPr>
      <xdr:spPr>
        <a:xfrm>
          <a:off x="2730500" y="730821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http://richearthinstitute.org/?page_id=739</a:t>
          </a:r>
        </a:p>
      </xdr:txBody>
    </xdr:sp>
    <xdr:clientData/>
  </xdr:twoCellAnchor>
  <xdr:twoCellAnchor>
    <xdr:from>
      <xdr:col>121</xdr:col>
      <xdr:colOff>0</xdr:colOff>
      <xdr:row>34</xdr:row>
      <xdr:rowOff>1568450</xdr:rowOff>
    </xdr:from>
    <xdr:to>
      <xdr:col>121</xdr:col>
      <xdr:colOff>0</xdr:colOff>
      <xdr:row>34</xdr:row>
      <xdr:rowOff>1809750</xdr:rowOff>
    </xdr:to>
    <xdr:sp macro="" textlink="">
      <xdr:nvSpPr>
        <xdr:cNvPr id="263" name="TextBox 262">
          <a:hlinkClick xmlns:r="http://schemas.openxmlformats.org/officeDocument/2006/relationships" r:id="rId21"/>
          <a:extLst>
            <a:ext uri="{FF2B5EF4-FFF2-40B4-BE49-F238E27FC236}">
              <a16:creationId xmlns:a16="http://schemas.microsoft.com/office/drawing/2014/main" id="{00000000-0008-0000-0000-000007010000}"/>
            </a:ext>
          </a:extLst>
        </xdr:cNvPr>
        <xdr:cNvSpPr txBox="1"/>
      </xdr:nvSpPr>
      <xdr:spPr>
        <a:xfrm>
          <a:off x="2730500" y="682561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http://www.ecosanres.org/pdf_files/ToiletsThatMakeCompost.pdf</a:t>
          </a:r>
        </a:p>
      </xdr:txBody>
    </xdr:sp>
    <xdr:clientData/>
  </xdr:twoCellAnchor>
  <xdr:twoCellAnchor>
    <xdr:from>
      <xdr:col>121</xdr:col>
      <xdr:colOff>0</xdr:colOff>
      <xdr:row>38</xdr:row>
      <xdr:rowOff>1079500</xdr:rowOff>
    </xdr:from>
    <xdr:to>
      <xdr:col>121</xdr:col>
      <xdr:colOff>0</xdr:colOff>
      <xdr:row>38</xdr:row>
      <xdr:rowOff>1320800</xdr:rowOff>
    </xdr:to>
    <xdr:sp macro="" textlink="">
      <xdr:nvSpPr>
        <xdr:cNvPr id="264" name="TextBox 263">
          <a:hlinkClick xmlns:r="http://schemas.openxmlformats.org/officeDocument/2006/relationships" r:id="rId22"/>
          <a:extLst>
            <a:ext uri="{FF2B5EF4-FFF2-40B4-BE49-F238E27FC236}">
              <a16:creationId xmlns:a16="http://schemas.microsoft.com/office/drawing/2014/main" id="{00000000-0008-0000-0000-000008010000}"/>
            </a:ext>
          </a:extLst>
        </xdr:cNvPr>
        <xdr:cNvSpPr txBox="1"/>
      </xdr:nvSpPr>
      <xdr:spPr>
        <a:xfrm>
          <a:off x="2730500" y="783336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0</xdr:colOff>
      <xdr:row>34</xdr:row>
      <xdr:rowOff>923925</xdr:rowOff>
    </xdr:from>
    <xdr:to>
      <xdr:col>121</xdr:col>
      <xdr:colOff>0</xdr:colOff>
      <xdr:row>34</xdr:row>
      <xdr:rowOff>1165225</xdr:rowOff>
    </xdr:to>
    <xdr:sp macro="" textlink="">
      <xdr:nvSpPr>
        <xdr:cNvPr id="265" name="TextBox 264">
          <a:hlinkClick xmlns:r="http://schemas.openxmlformats.org/officeDocument/2006/relationships" r:id="rId29"/>
          <a:extLst>
            <a:ext uri="{FF2B5EF4-FFF2-40B4-BE49-F238E27FC236}">
              <a16:creationId xmlns:a16="http://schemas.microsoft.com/office/drawing/2014/main" id="{00000000-0008-0000-0000-000009010000}"/>
            </a:ext>
          </a:extLst>
        </xdr:cNvPr>
        <xdr:cNvSpPr txBox="1"/>
      </xdr:nvSpPr>
      <xdr:spPr>
        <a:xfrm>
          <a:off x="2730500" y="676116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http://water.epa.gov/aboutow/owm/upload/2005_07_14_comp.pdf</a:t>
          </a:r>
        </a:p>
      </xdr:txBody>
    </xdr:sp>
    <xdr:clientData/>
  </xdr:twoCellAnchor>
  <xdr:twoCellAnchor>
    <xdr:from>
      <xdr:col>121</xdr:col>
      <xdr:colOff>0</xdr:colOff>
      <xdr:row>37</xdr:row>
      <xdr:rowOff>276225</xdr:rowOff>
    </xdr:from>
    <xdr:to>
      <xdr:col>121</xdr:col>
      <xdr:colOff>0</xdr:colOff>
      <xdr:row>37</xdr:row>
      <xdr:rowOff>517525</xdr:rowOff>
    </xdr:to>
    <xdr:sp macro="" textlink="">
      <xdr:nvSpPr>
        <xdr:cNvPr id="266" name="TextBox 265">
          <a:hlinkClick xmlns:r="http://schemas.openxmlformats.org/officeDocument/2006/relationships" r:id="rId11"/>
          <a:extLst>
            <a:ext uri="{FF2B5EF4-FFF2-40B4-BE49-F238E27FC236}">
              <a16:creationId xmlns:a16="http://schemas.microsoft.com/office/drawing/2014/main" id="{00000000-0008-0000-0000-00000A010000}"/>
            </a:ext>
          </a:extLst>
        </xdr:cNvPr>
        <xdr:cNvSpPr txBox="1"/>
      </xdr:nvSpPr>
      <xdr:spPr>
        <a:xfrm>
          <a:off x="2730500" y="742791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37</xdr:row>
      <xdr:rowOff>1079500</xdr:rowOff>
    </xdr:from>
    <xdr:to>
      <xdr:col>121</xdr:col>
      <xdr:colOff>0</xdr:colOff>
      <xdr:row>37</xdr:row>
      <xdr:rowOff>1320800</xdr:rowOff>
    </xdr:to>
    <xdr:sp macro="" textlink="">
      <xdr:nvSpPr>
        <xdr:cNvPr id="267" name="TextBox 266">
          <a:hlinkClick xmlns:r="http://schemas.openxmlformats.org/officeDocument/2006/relationships" r:id="rId22"/>
          <a:extLst>
            <a:ext uri="{FF2B5EF4-FFF2-40B4-BE49-F238E27FC236}">
              <a16:creationId xmlns:a16="http://schemas.microsoft.com/office/drawing/2014/main" id="{00000000-0008-0000-0000-00000B010000}"/>
            </a:ext>
          </a:extLst>
        </xdr:cNvPr>
        <xdr:cNvSpPr txBox="1"/>
      </xdr:nvSpPr>
      <xdr:spPr>
        <a:xfrm>
          <a:off x="2730500" y="750824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130175</xdr:colOff>
      <xdr:row>14</xdr:row>
      <xdr:rowOff>273050</xdr:rowOff>
    </xdr:from>
    <xdr:to>
      <xdr:col>121</xdr:col>
      <xdr:colOff>11763375</xdr:colOff>
      <xdr:row>14</xdr:row>
      <xdr:rowOff>514350</xdr:rowOff>
    </xdr:to>
    <xdr:sp macro="" textlink="">
      <xdr:nvSpPr>
        <xdr:cNvPr id="169" name="TextBox 168">
          <a:hlinkClick xmlns:r="http://schemas.openxmlformats.org/officeDocument/2006/relationships" r:id="rId2"/>
          <a:extLst>
            <a:ext uri="{FF2B5EF4-FFF2-40B4-BE49-F238E27FC236}">
              <a16:creationId xmlns:a16="http://schemas.microsoft.com/office/drawing/2014/main" id="{61A1FC6E-5055-4D8D-900E-083D2F54E6A1}"/>
            </a:ext>
          </a:extLst>
        </xdr:cNvPr>
        <xdr:cNvSpPr txBox="1"/>
      </xdr:nvSpPr>
      <xdr:spPr>
        <a:xfrm>
          <a:off x="139942887" y="26404887"/>
          <a:ext cx="11628438"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139700</xdr:colOff>
      <xdr:row>13</xdr:row>
      <xdr:rowOff>266700</xdr:rowOff>
    </xdr:from>
    <xdr:to>
      <xdr:col>121</xdr:col>
      <xdr:colOff>11772900</xdr:colOff>
      <xdr:row>13</xdr:row>
      <xdr:rowOff>508000</xdr:rowOff>
    </xdr:to>
    <xdr:sp macro="" textlink="">
      <xdr:nvSpPr>
        <xdr:cNvPr id="170" name="TextBox 169">
          <a:hlinkClick xmlns:r="http://schemas.openxmlformats.org/officeDocument/2006/relationships" r:id="rId2"/>
          <a:extLst>
            <a:ext uri="{FF2B5EF4-FFF2-40B4-BE49-F238E27FC236}">
              <a16:creationId xmlns:a16="http://schemas.microsoft.com/office/drawing/2014/main" id="{BF308B96-3A78-436B-9DC8-C48FCCFA5583}"/>
            </a:ext>
          </a:extLst>
        </xdr:cNvPr>
        <xdr:cNvSpPr txBox="1"/>
      </xdr:nvSpPr>
      <xdr:spPr>
        <a:xfrm>
          <a:off x="139952412" y="23593425"/>
          <a:ext cx="11628438"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123825</xdr:colOff>
      <xdr:row>14</xdr:row>
      <xdr:rowOff>584200</xdr:rowOff>
    </xdr:from>
    <xdr:to>
      <xdr:col>121</xdr:col>
      <xdr:colOff>11757025</xdr:colOff>
      <xdr:row>14</xdr:row>
      <xdr:rowOff>825500</xdr:rowOff>
    </xdr:to>
    <xdr:sp macro="" textlink="">
      <xdr:nvSpPr>
        <xdr:cNvPr id="176" name="TextBox 175">
          <a:hlinkClick xmlns:r="http://schemas.openxmlformats.org/officeDocument/2006/relationships" r:id="rId24"/>
          <a:extLst>
            <a:ext uri="{FF2B5EF4-FFF2-40B4-BE49-F238E27FC236}">
              <a16:creationId xmlns:a16="http://schemas.microsoft.com/office/drawing/2014/main" id="{CC76A70E-4CEB-4470-9709-148BA1163062}"/>
            </a:ext>
          </a:extLst>
        </xdr:cNvPr>
        <xdr:cNvSpPr txBox="1"/>
      </xdr:nvSpPr>
      <xdr:spPr>
        <a:xfrm>
          <a:off x="139931775" y="26716037"/>
          <a:ext cx="11637962"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http://www.unh.edu/unhsc/sites/unh.edu.unhsc/files/pubs_specs_info/unhsc_gravel_wetland_specs_6_09.pdf</a:t>
          </a:r>
        </a:p>
      </xdr:txBody>
    </xdr:sp>
    <xdr:clientData/>
  </xdr:twoCellAnchor>
  <xdr:twoCellAnchor>
    <xdr:from>
      <xdr:col>121</xdr:col>
      <xdr:colOff>165100</xdr:colOff>
      <xdr:row>14</xdr:row>
      <xdr:rowOff>927100</xdr:rowOff>
    </xdr:from>
    <xdr:to>
      <xdr:col>121</xdr:col>
      <xdr:colOff>11798300</xdr:colOff>
      <xdr:row>14</xdr:row>
      <xdr:rowOff>1168400</xdr:rowOff>
    </xdr:to>
    <xdr:sp macro="" textlink="">
      <xdr:nvSpPr>
        <xdr:cNvPr id="178" name="TextBox 177">
          <a:hlinkClick xmlns:r="http://schemas.openxmlformats.org/officeDocument/2006/relationships" r:id="rId25"/>
          <a:extLst>
            <a:ext uri="{FF2B5EF4-FFF2-40B4-BE49-F238E27FC236}">
              <a16:creationId xmlns:a16="http://schemas.microsoft.com/office/drawing/2014/main" id="{D324AF4A-3FE8-492D-ACC9-02BA2CFBB1A8}"/>
            </a:ext>
          </a:extLst>
        </xdr:cNvPr>
        <xdr:cNvSpPr txBox="1"/>
      </xdr:nvSpPr>
      <xdr:spPr>
        <a:xfrm>
          <a:off x="139977812" y="27058937"/>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http://www.crwa.org/projects/bmpfactsheets/crwa_gravelwetland.pdf</a:t>
          </a:r>
        </a:p>
      </xdr:txBody>
    </xdr:sp>
    <xdr:clientData/>
  </xdr:twoCellAnchor>
  <xdr:twoCellAnchor editAs="oneCell">
    <xdr:from>
      <xdr:col>2</xdr:col>
      <xdr:colOff>152399</xdr:colOff>
      <xdr:row>12</xdr:row>
      <xdr:rowOff>968374</xdr:rowOff>
    </xdr:from>
    <xdr:to>
      <xdr:col>2</xdr:col>
      <xdr:colOff>1066799</xdr:colOff>
      <xdr:row>12</xdr:row>
      <xdr:rowOff>1892299</xdr:rowOff>
    </xdr:to>
    <xdr:pic>
      <xdr:nvPicPr>
        <xdr:cNvPr id="182" name="Picture 181">
          <a:extLst>
            <a:ext uri="{FF2B5EF4-FFF2-40B4-BE49-F238E27FC236}">
              <a16:creationId xmlns:a16="http://schemas.microsoft.com/office/drawing/2014/main" id="{561028BC-83EC-4CD4-9590-C14EB2A40FB7}"/>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2571749" y="21499511"/>
          <a:ext cx="914400" cy="923925"/>
        </a:xfrm>
        <a:prstGeom prst="rect">
          <a:avLst/>
        </a:prstGeom>
      </xdr:spPr>
    </xdr:pic>
    <xdr:clientData/>
  </xdr:twoCellAnchor>
  <xdr:twoCellAnchor editAs="oneCell">
    <xdr:from>
      <xdr:col>2</xdr:col>
      <xdr:colOff>139699</xdr:colOff>
      <xdr:row>14</xdr:row>
      <xdr:rowOff>952499</xdr:rowOff>
    </xdr:from>
    <xdr:to>
      <xdr:col>2</xdr:col>
      <xdr:colOff>1072197</xdr:colOff>
      <xdr:row>14</xdr:row>
      <xdr:rowOff>1866899</xdr:rowOff>
    </xdr:to>
    <xdr:pic>
      <xdr:nvPicPr>
        <xdr:cNvPr id="184" name="Picture 183">
          <a:extLst>
            <a:ext uri="{FF2B5EF4-FFF2-40B4-BE49-F238E27FC236}">
              <a16:creationId xmlns:a16="http://schemas.microsoft.com/office/drawing/2014/main" id="{007D7665-FD65-4759-B120-AF8192DB4EDB}"/>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63811" y="27079574"/>
          <a:ext cx="932498" cy="914400"/>
        </a:xfrm>
        <a:prstGeom prst="rect">
          <a:avLst/>
        </a:prstGeom>
      </xdr:spPr>
    </xdr:pic>
    <xdr:clientData/>
  </xdr:twoCellAnchor>
  <xdr:twoCellAnchor editAs="oneCell">
    <xdr:from>
      <xdr:col>2</xdr:col>
      <xdr:colOff>139699</xdr:colOff>
      <xdr:row>13</xdr:row>
      <xdr:rowOff>977899</xdr:rowOff>
    </xdr:from>
    <xdr:to>
      <xdr:col>2</xdr:col>
      <xdr:colOff>1072197</xdr:colOff>
      <xdr:row>13</xdr:row>
      <xdr:rowOff>1892299</xdr:rowOff>
    </xdr:to>
    <xdr:pic>
      <xdr:nvPicPr>
        <xdr:cNvPr id="188" name="Picture 187">
          <a:extLst>
            <a:ext uri="{FF2B5EF4-FFF2-40B4-BE49-F238E27FC236}">
              <a16:creationId xmlns:a16="http://schemas.microsoft.com/office/drawing/2014/main" id="{03F5EAFD-E1ED-4032-9241-DF2F13EE7F26}"/>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63811" y="24309386"/>
          <a:ext cx="932498" cy="914400"/>
        </a:xfrm>
        <a:prstGeom prst="rect">
          <a:avLst/>
        </a:prstGeom>
      </xdr:spPr>
    </xdr:pic>
    <xdr:clientData/>
  </xdr:twoCellAnchor>
  <xdr:twoCellAnchor editAs="oneCell">
    <xdr:from>
      <xdr:col>2</xdr:col>
      <xdr:colOff>200025</xdr:colOff>
      <xdr:row>11</xdr:row>
      <xdr:rowOff>552450</xdr:rowOff>
    </xdr:from>
    <xdr:to>
      <xdr:col>2</xdr:col>
      <xdr:colOff>1114425</xdr:colOff>
      <xdr:row>11</xdr:row>
      <xdr:rowOff>1476375</xdr:rowOff>
    </xdr:to>
    <xdr:pic>
      <xdr:nvPicPr>
        <xdr:cNvPr id="190" name="Picture 189">
          <a:extLst>
            <a:ext uri="{FF2B5EF4-FFF2-40B4-BE49-F238E27FC236}">
              <a16:creationId xmlns:a16="http://schemas.microsoft.com/office/drawing/2014/main" id="{AED64653-9F53-4EE6-AA82-3AA095690B57}"/>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2619375" y="18811875"/>
          <a:ext cx="914400" cy="923925"/>
        </a:xfrm>
        <a:prstGeom prst="rect">
          <a:avLst/>
        </a:prstGeom>
      </xdr:spPr>
    </xdr:pic>
    <xdr:clientData/>
  </xdr:twoCellAnchor>
  <xdr:twoCellAnchor>
    <xdr:from>
      <xdr:col>121</xdr:col>
      <xdr:colOff>114300</xdr:colOff>
      <xdr:row>17</xdr:row>
      <xdr:rowOff>101600</xdr:rowOff>
    </xdr:from>
    <xdr:to>
      <xdr:col>121</xdr:col>
      <xdr:colOff>11747500</xdr:colOff>
      <xdr:row>17</xdr:row>
      <xdr:rowOff>342900</xdr:rowOff>
    </xdr:to>
    <xdr:sp macro="" textlink="">
      <xdr:nvSpPr>
        <xdr:cNvPr id="268" name="TextBox 267">
          <a:hlinkClick xmlns:r="http://schemas.openxmlformats.org/officeDocument/2006/relationships" r:id="rId1"/>
          <a:extLst>
            <a:ext uri="{FF2B5EF4-FFF2-40B4-BE49-F238E27FC236}">
              <a16:creationId xmlns:a16="http://schemas.microsoft.com/office/drawing/2014/main" id="{EC6C924D-02BE-4175-8E28-D64680526C3F}"/>
            </a:ext>
          </a:extLst>
        </xdr:cNvPr>
        <xdr:cNvSpPr txBox="1"/>
      </xdr:nvSpPr>
      <xdr:spPr>
        <a:xfrm>
          <a:off x="139922250" y="35005962"/>
          <a:ext cx="11637962"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http://www.unh.edu/unhsc/sites/unh.edu.unhsc/files/asce_jee_maintenance.pdf </a:t>
          </a:r>
        </a:p>
      </xdr:txBody>
    </xdr:sp>
    <xdr:clientData/>
  </xdr:twoCellAnchor>
  <xdr:twoCellAnchor>
    <xdr:from>
      <xdr:col>121</xdr:col>
      <xdr:colOff>127000</xdr:colOff>
      <xdr:row>17</xdr:row>
      <xdr:rowOff>431800</xdr:rowOff>
    </xdr:from>
    <xdr:to>
      <xdr:col>121</xdr:col>
      <xdr:colOff>11760200</xdr:colOff>
      <xdr:row>17</xdr:row>
      <xdr:rowOff>673100</xdr:rowOff>
    </xdr:to>
    <xdr:sp macro="" textlink="">
      <xdr:nvSpPr>
        <xdr:cNvPr id="269" name="TextBox 268">
          <a:hlinkClick xmlns:r="http://schemas.openxmlformats.org/officeDocument/2006/relationships" r:id="rId1"/>
          <a:extLst>
            <a:ext uri="{FF2B5EF4-FFF2-40B4-BE49-F238E27FC236}">
              <a16:creationId xmlns:a16="http://schemas.microsoft.com/office/drawing/2014/main" id="{FDA67357-3D8B-4400-AAFF-ED4AD680B7F3}"/>
            </a:ext>
          </a:extLst>
        </xdr:cNvPr>
        <xdr:cNvSpPr txBox="1"/>
      </xdr:nvSpPr>
      <xdr:spPr>
        <a:xfrm>
          <a:off x="139939712" y="35336162"/>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http://www.unh.edu/unhsc/sites/unh.edu.unhsc/files/docs/UNHSC.2012Report.10.10.12.pdf</a:t>
          </a:r>
        </a:p>
      </xdr:txBody>
    </xdr:sp>
    <xdr:clientData/>
  </xdr:twoCellAnchor>
  <xdr:twoCellAnchor>
    <xdr:from>
      <xdr:col>121</xdr:col>
      <xdr:colOff>139700</xdr:colOff>
      <xdr:row>17</xdr:row>
      <xdr:rowOff>1739900</xdr:rowOff>
    </xdr:from>
    <xdr:to>
      <xdr:col>121</xdr:col>
      <xdr:colOff>11772900</xdr:colOff>
      <xdr:row>17</xdr:row>
      <xdr:rowOff>1981200</xdr:rowOff>
    </xdr:to>
    <xdr:sp macro="" textlink="">
      <xdr:nvSpPr>
        <xdr:cNvPr id="270" name="TextBox 269">
          <a:hlinkClick xmlns:r="http://schemas.openxmlformats.org/officeDocument/2006/relationships" r:id="rId1"/>
          <a:extLst>
            <a:ext uri="{FF2B5EF4-FFF2-40B4-BE49-F238E27FC236}">
              <a16:creationId xmlns:a16="http://schemas.microsoft.com/office/drawing/2014/main" id="{C3375992-CEB2-44B9-9421-F9D402CFF8A2}"/>
            </a:ext>
          </a:extLst>
        </xdr:cNvPr>
        <xdr:cNvSpPr txBox="1"/>
      </xdr:nvSpPr>
      <xdr:spPr>
        <a:xfrm>
          <a:off x="139952412" y="36644262"/>
          <a:ext cx="11628438"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http://www.environment.fhwa.dot.gov/(S(kmqmwz45xwbdsd2xihcmnifc))/ecosystems/ultraurb/3fs11.asp </a:t>
          </a:r>
        </a:p>
      </xdr:txBody>
    </xdr:sp>
    <xdr:clientData/>
  </xdr:twoCellAnchor>
  <xdr:twoCellAnchor>
    <xdr:from>
      <xdr:col>121</xdr:col>
      <xdr:colOff>139700</xdr:colOff>
      <xdr:row>17</xdr:row>
      <xdr:rowOff>1270000</xdr:rowOff>
    </xdr:from>
    <xdr:to>
      <xdr:col>121</xdr:col>
      <xdr:colOff>11772900</xdr:colOff>
      <xdr:row>17</xdr:row>
      <xdr:rowOff>1511300</xdr:rowOff>
    </xdr:to>
    <xdr:sp macro="" textlink="">
      <xdr:nvSpPr>
        <xdr:cNvPr id="271" name="TextBox 270">
          <a:hlinkClick xmlns:r="http://schemas.openxmlformats.org/officeDocument/2006/relationships" r:id="rId1"/>
          <a:extLst>
            <a:ext uri="{FF2B5EF4-FFF2-40B4-BE49-F238E27FC236}">
              <a16:creationId xmlns:a16="http://schemas.microsoft.com/office/drawing/2014/main" id="{A17CC4D1-F370-40AD-9381-476D93F17D3C}"/>
            </a:ext>
          </a:extLst>
        </xdr:cNvPr>
        <xdr:cNvSpPr txBox="1"/>
      </xdr:nvSpPr>
      <xdr:spPr>
        <a:xfrm>
          <a:off x="139952412" y="36174362"/>
          <a:ext cx="11628438"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http://www.academic.research.microsoft.com/Paper/2943904.aspx</a:t>
          </a:r>
        </a:p>
      </xdr:txBody>
    </xdr:sp>
    <xdr:clientData/>
  </xdr:twoCellAnchor>
  <xdr:twoCellAnchor>
    <xdr:from>
      <xdr:col>121</xdr:col>
      <xdr:colOff>152400</xdr:colOff>
      <xdr:row>17</xdr:row>
      <xdr:rowOff>762000</xdr:rowOff>
    </xdr:from>
    <xdr:to>
      <xdr:col>121</xdr:col>
      <xdr:colOff>11785600</xdr:colOff>
      <xdr:row>17</xdr:row>
      <xdr:rowOff>1003300</xdr:rowOff>
    </xdr:to>
    <xdr:sp macro="" textlink="">
      <xdr:nvSpPr>
        <xdr:cNvPr id="272" name="TextBox 271">
          <a:hlinkClick xmlns:r="http://schemas.openxmlformats.org/officeDocument/2006/relationships" r:id="rId1"/>
          <a:extLst>
            <a:ext uri="{FF2B5EF4-FFF2-40B4-BE49-F238E27FC236}">
              <a16:creationId xmlns:a16="http://schemas.microsoft.com/office/drawing/2014/main" id="{CE1A30C9-73A9-4A69-AF35-9ED3539B4174}"/>
            </a:ext>
          </a:extLst>
        </xdr:cNvPr>
        <xdr:cNvSpPr txBox="1"/>
      </xdr:nvSpPr>
      <xdr:spPr>
        <a:xfrm>
          <a:off x="139960350" y="35661600"/>
          <a:ext cx="11637962"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http://www.unh.edu/unhsc/sites/unh.edu.unhsc/files/pubs_specs_info/2009_unhsc_report.pdf </a:t>
          </a:r>
        </a:p>
      </xdr:txBody>
    </xdr:sp>
    <xdr:clientData/>
  </xdr:twoCellAnchor>
  <xdr:twoCellAnchor>
    <xdr:from>
      <xdr:col>121</xdr:col>
      <xdr:colOff>165100</xdr:colOff>
      <xdr:row>17</xdr:row>
      <xdr:rowOff>2413000</xdr:rowOff>
    </xdr:from>
    <xdr:to>
      <xdr:col>121</xdr:col>
      <xdr:colOff>11798300</xdr:colOff>
      <xdr:row>17</xdr:row>
      <xdr:rowOff>2654300</xdr:rowOff>
    </xdr:to>
    <xdr:sp macro="" textlink="">
      <xdr:nvSpPr>
        <xdr:cNvPr id="273" name="TextBox 272">
          <a:hlinkClick xmlns:r="http://schemas.openxmlformats.org/officeDocument/2006/relationships" r:id="rId1"/>
          <a:extLst>
            <a:ext uri="{FF2B5EF4-FFF2-40B4-BE49-F238E27FC236}">
              <a16:creationId xmlns:a16="http://schemas.microsoft.com/office/drawing/2014/main" id="{F06BC08F-AF95-4B06-BC8B-4754ED44AECE}"/>
            </a:ext>
          </a:extLst>
        </xdr:cNvPr>
        <xdr:cNvSpPr txBox="1"/>
      </xdr:nvSpPr>
      <xdr:spPr>
        <a:xfrm>
          <a:off x="139977812" y="37317362"/>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http://water.epa.gov/scitech/wastetech/upload/2002_06_28_mtb_biortn.pdf</a:t>
          </a:r>
        </a:p>
      </xdr:txBody>
    </xdr:sp>
    <xdr:clientData/>
  </xdr:twoCellAnchor>
  <xdr:twoCellAnchor>
    <xdr:from>
      <xdr:col>121</xdr:col>
      <xdr:colOff>139700</xdr:colOff>
      <xdr:row>17</xdr:row>
      <xdr:rowOff>2095500</xdr:rowOff>
    </xdr:from>
    <xdr:to>
      <xdr:col>121</xdr:col>
      <xdr:colOff>11772900</xdr:colOff>
      <xdr:row>17</xdr:row>
      <xdr:rowOff>2336800</xdr:rowOff>
    </xdr:to>
    <xdr:sp macro="" textlink="">
      <xdr:nvSpPr>
        <xdr:cNvPr id="274" name="TextBox 273">
          <a:hlinkClick xmlns:r="http://schemas.openxmlformats.org/officeDocument/2006/relationships" r:id="rId1"/>
          <a:extLst>
            <a:ext uri="{FF2B5EF4-FFF2-40B4-BE49-F238E27FC236}">
              <a16:creationId xmlns:a16="http://schemas.microsoft.com/office/drawing/2014/main" id="{C0E6BD99-326A-4E99-855B-DB6A1BC03BF5}"/>
            </a:ext>
          </a:extLst>
        </xdr:cNvPr>
        <xdr:cNvSpPr txBox="1"/>
      </xdr:nvSpPr>
      <xdr:spPr>
        <a:xfrm>
          <a:off x="139952412" y="36995100"/>
          <a:ext cx="11628438"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http://www.watershedmanagement.vt.gov/stormwater/docs/manualrevision/sw_Fact_Sheet_Enhanced_Nutrient_Removal.pdf</a:t>
          </a:r>
        </a:p>
      </xdr:txBody>
    </xdr:sp>
    <xdr:clientData/>
  </xdr:twoCellAnchor>
  <xdr:twoCellAnchor editAs="oneCell">
    <xdr:from>
      <xdr:col>2</xdr:col>
      <xdr:colOff>152399</xdr:colOff>
      <xdr:row>17</xdr:row>
      <xdr:rowOff>1019174</xdr:rowOff>
    </xdr:from>
    <xdr:to>
      <xdr:col>2</xdr:col>
      <xdr:colOff>1066799</xdr:colOff>
      <xdr:row>17</xdr:row>
      <xdr:rowOff>1943099</xdr:rowOff>
    </xdr:to>
    <xdr:pic>
      <xdr:nvPicPr>
        <xdr:cNvPr id="275" name="Picture 274">
          <a:extLst>
            <a:ext uri="{FF2B5EF4-FFF2-40B4-BE49-F238E27FC236}">
              <a16:creationId xmlns:a16="http://schemas.microsoft.com/office/drawing/2014/main" id="{E0F1D6C8-E6F7-4F17-B464-62B9443B7CAE}"/>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2571749" y="35918774"/>
          <a:ext cx="914400" cy="923925"/>
        </a:xfrm>
        <a:prstGeom prst="rect">
          <a:avLst/>
        </a:prstGeom>
      </xdr:spPr>
    </xdr:pic>
    <xdr:clientData/>
  </xdr:twoCellAnchor>
  <xdr:twoCellAnchor editAs="oneCell">
    <xdr:from>
      <xdr:col>2</xdr:col>
      <xdr:colOff>200025</xdr:colOff>
      <xdr:row>16</xdr:row>
      <xdr:rowOff>895350</xdr:rowOff>
    </xdr:from>
    <xdr:to>
      <xdr:col>2</xdr:col>
      <xdr:colOff>1114504</xdr:colOff>
      <xdr:row>16</xdr:row>
      <xdr:rowOff>1826784</xdr:rowOff>
    </xdr:to>
    <xdr:pic>
      <xdr:nvPicPr>
        <xdr:cNvPr id="276" name="Picture 275">
          <a:extLst>
            <a:ext uri="{FF2B5EF4-FFF2-40B4-BE49-F238E27FC236}">
              <a16:creationId xmlns:a16="http://schemas.microsoft.com/office/drawing/2014/main" id="{B6212F9C-A96F-423F-834E-552C314F2F0C}"/>
            </a:ext>
          </a:extLst>
        </xdr:cNvPr>
        <xdr:cNvPicPr>
          <a:picLocks noChangeAspect="1"/>
        </xdr:cNvPicPr>
      </xdr:nvPicPr>
      <xdr:blipFill>
        <a:blip xmlns:r="http://schemas.openxmlformats.org/officeDocument/2006/relationships" r:embed="rId75"/>
        <a:stretch>
          <a:fillRect/>
        </a:stretch>
      </xdr:blipFill>
      <xdr:spPr>
        <a:xfrm>
          <a:off x="2619375" y="32870775"/>
          <a:ext cx="914479" cy="931434"/>
        </a:xfrm>
        <a:prstGeom prst="rect">
          <a:avLst/>
        </a:prstGeom>
      </xdr:spPr>
    </xdr:pic>
    <xdr:clientData/>
  </xdr:twoCellAnchor>
  <xdr:twoCellAnchor editAs="oneCell">
    <xdr:from>
      <xdr:col>2</xdr:col>
      <xdr:colOff>163286</xdr:colOff>
      <xdr:row>15</xdr:row>
      <xdr:rowOff>1023257</xdr:rowOff>
    </xdr:from>
    <xdr:to>
      <xdr:col>2</xdr:col>
      <xdr:colOff>1105308</xdr:colOff>
      <xdr:row>15</xdr:row>
      <xdr:rowOff>1937657</xdr:rowOff>
    </xdr:to>
    <xdr:pic>
      <xdr:nvPicPr>
        <xdr:cNvPr id="277" name="Picture 276">
          <a:extLst>
            <a:ext uri="{FF2B5EF4-FFF2-40B4-BE49-F238E27FC236}">
              <a16:creationId xmlns:a16="http://schemas.microsoft.com/office/drawing/2014/main" id="{1AEC7F32-D5A6-4A6A-87ED-57CE1CB3BACE}"/>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82636" y="30079269"/>
          <a:ext cx="942022" cy="914400"/>
        </a:xfrm>
        <a:prstGeom prst="rect">
          <a:avLst/>
        </a:prstGeom>
      </xdr:spPr>
    </xdr:pic>
    <xdr:clientData/>
  </xdr:twoCellAnchor>
  <xdr:twoCellAnchor>
    <xdr:from>
      <xdr:col>121</xdr:col>
      <xdr:colOff>130175</xdr:colOff>
      <xdr:row>15</xdr:row>
      <xdr:rowOff>273050</xdr:rowOff>
    </xdr:from>
    <xdr:to>
      <xdr:col>121</xdr:col>
      <xdr:colOff>11763375</xdr:colOff>
      <xdr:row>15</xdr:row>
      <xdr:rowOff>514350</xdr:rowOff>
    </xdr:to>
    <xdr:sp macro="" textlink="">
      <xdr:nvSpPr>
        <xdr:cNvPr id="278" name="TextBox 277">
          <a:hlinkClick xmlns:r="http://schemas.openxmlformats.org/officeDocument/2006/relationships" r:id="rId2"/>
          <a:extLst>
            <a:ext uri="{FF2B5EF4-FFF2-40B4-BE49-F238E27FC236}">
              <a16:creationId xmlns:a16="http://schemas.microsoft.com/office/drawing/2014/main" id="{5B29EB4A-AC83-4BCC-9927-BEDB0053E43D}"/>
            </a:ext>
          </a:extLst>
        </xdr:cNvPr>
        <xdr:cNvSpPr txBox="1"/>
      </xdr:nvSpPr>
      <xdr:spPr>
        <a:xfrm>
          <a:off x="139942887" y="29329062"/>
          <a:ext cx="11628438"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123825</xdr:colOff>
      <xdr:row>15</xdr:row>
      <xdr:rowOff>584200</xdr:rowOff>
    </xdr:from>
    <xdr:to>
      <xdr:col>121</xdr:col>
      <xdr:colOff>11757025</xdr:colOff>
      <xdr:row>15</xdr:row>
      <xdr:rowOff>825500</xdr:rowOff>
    </xdr:to>
    <xdr:sp macro="" textlink="">
      <xdr:nvSpPr>
        <xdr:cNvPr id="279" name="TextBox 278">
          <a:hlinkClick xmlns:r="http://schemas.openxmlformats.org/officeDocument/2006/relationships" r:id="rId24"/>
          <a:extLst>
            <a:ext uri="{FF2B5EF4-FFF2-40B4-BE49-F238E27FC236}">
              <a16:creationId xmlns:a16="http://schemas.microsoft.com/office/drawing/2014/main" id="{2FF91B15-2AE7-435C-B7B2-1C8DC38FF92B}"/>
            </a:ext>
          </a:extLst>
        </xdr:cNvPr>
        <xdr:cNvSpPr txBox="1"/>
      </xdr:nvSpPr>
      <xdr:spPr>
        <a:xfrm>
          <a:off x="139931775" y="29640212"/>
          <a:ext cx="11637962"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http://www.unh.edu/unhsc/sites/unh.edu.unhsc/files/pubs_specs_info/unhsc_gravel_wetland_specs_6_09.pdf</a:t>
          </a:r>
        </a:p>
      </xdr:txBody>
    </xdr:sp>
    <xdr:clientData/>
  </xdr:twoCellAnchor>
  <xdr:twoCellAnchor>
    <xdr:from>
      <xdr:col>121</xdr:col>
      <xdr:colOff>165100</xdr:colOff>
      <xdr:row>15</xdr:row>
      <xdr:rowOff>927100</xdr:rowOff>
    </xdr:from>
    <xdr:to>
      <xdr:col>121</xdr:col>
      <xdr:colOff>11798300</xdr:colOff>
      <xdr:row>15</xdr:row>
      <xdr:rowOff>1168400</xdr:rowOff>
    </xdr:to>
    <xdr:sp macro="" textlink="">
      <xdr:nvSpPr>
        <xdr:cNvPr id="280" name="TextBox 279">
          <a:hlinkClick xmlns:r="http://schemas.openxmlformats.org/officeDocument/2006/relationships" r:id="rId25"/>
          <a:extLst>
            <a:ext uri="{FF2B5EF4-FFF2-40B4-BE49-F238E27FC236}">
              <a16:creationId xmlns:a16="http://schemas.microsoft.com/office/drawing/2014/main" id="{64F3E96A-3F33-4E1C-ACE9-38E3A5D6245C}"/>
            </a:ext>
          </a:extLst>
        </xdr:cNvPr>
        <xdr:cNvSpPr txBox="1"/>
      </xdr:nvSpPr>
      <xdr:spPr>
        <a:xfrm>
          <a:off x="139977812" y="29983112"/>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http://www.crwa.org/projects/bmpfactsheets/crwa_gravelwetland.pdf</a:t>
          </a:r>
        </a:p>
      </xdr:txBody>
    </xdr:sp>
    <xdr:clientData/>
  </xdr:twoCellAnchor>
  <xdr:twoCellAnchor editAs="oneCell">
    <xdr:from>
      <xdr:col>2</xdr:col>
      <xdr:colOff>174171</xdr:colOff>
      <xdr:row>18</xdr:row>
      <xdr:rowOff>925286</xdr:rowOff>
    </xdr:from>
    <xdr:to>
      <xdr:col>2</xdr:col>
      <xdr:colOff>1088571</xdr:colOff>
      <xdr:row>18</xdr:row>
      <xdr:rowOff>1877785</xdr:rowOff>
    </xdr:to>
    <xdr:pic>
      <xdr:nvPicPr>
        <xdr:cNvPr id="281" name="Picture 280">
          <a:extLst>
            <a:ext uri="{FF2B5EF4-FFF2-40B4-BE49-F238E27FC236}">
              <a16:creationId xmlns:a16="http://schemas.microsoft.com/office/drawing/2014/main" id="{686B67F3-C079-4E5B-B929-B08ACEFDE735}"/>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2609850" y="41005126"/>
          <a:ext cx="914400" cy="952499"/>
        </a:xfrm>
        <a:prstGeom prst="rect">
          <a:avLst/>
        </a:prstGeom>
      </xdr:spPr>
    </xdr:pic>
    <xdr:clientData/>
  </xdr:twoCellAnchor>
  <xdr:twoCellAnchor>
    <xdr:from>
      <xdr:col>121</xdr:col>
      <xdr:colOff>114300</xdr:colOff>
      <xdr:row>18</xdr:row>
      <xdr:rowOff>101600</xdr:rowOff>
    </xdr:from>
    <xdr:to>
      <xdr:col>121</xdr:col>
      <xdr:colOff>11747500</xdr:colOff>
      <xdr:row>18</xdr:row>
      <xdr:rowOff>342900</xdr:rowOff>
    </xdr:to>
    <xdr:sp macro="" textlink="">
      <xdr:nvSpPr>
        <xdr:cNvPr id="282" name="TextBox 281">
          <a:hlinkClick xmlns:r="http://schemas.openxmlformats.org/officeDocument/2006/relationships" r:id="rId1"/>
          <a:extLst>
            <a:ext uri="{FF2B5EF4-FFF2-40B4-BE49-F238E27FC236}">
              <a16:creationId xmlns:a16="http://schemas.microsoft.com/office/drawing/2014/main" id="{2E98BCBD-2B5C-4E3A-B5DA-1829F9805F32}"/>
            </a:ext>
          </a:extLst>
        </xdr:cNvPr>
        <xdr:cNvSpPr txBox="1"/>
      </xdr:nvSpPr>
      <xdr:spPr>
        <a:xfrm>
          <a:off x="139922250" y="38082537"/>
          <a:ext cx="11637962"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http://www.unh.edu/unhsc/sites/unh.edu.unhsc/files/asce_jee_maintenance.pdf </a:t>
          </a:r>
        </a:p>
      </xdr:txBody>
    </xdr:sp>
    <xdr:clientData/>
  </xdr:twoCellAnchor>
  <xdr:twoCellAnchor>
    <xdr:from>
      <xdr:col>121</xdr:col>
      <xdr:colOff>127000</xdr:colOff>
      <xdr:row>18</xdr:row>
      <xdr:rowOff>431800</xdr:rowOff>
    </xdr:from>
    <xdr:to>
      <xdr:col>121</xdr:col>
      <xdr:colOff>11760200</xdr:colOff>
      <xdr:row>18</xdr:row>
      <xdr:rowOff>673100</xdr:rowOff>
    </xdr:to>
    <xdr:sp macro="" textlink="">
      <xdr:nvSpPr>
        <xdr:cNvPr id="283" name="TextBox 282">
          <a:hlinkClick xmlns:r="http://schemas.openxmlformats.org/officeDocument/2006/relationships" r:id="rId1"/>
          <a:extLst>
            <a:ext uri="{FF2B5EF4-FFF2-40B4-BE49-F238E27FC236}">
              <a16:creationId xmlns:a16="http://schemas.microsoft.com/office/drawing/2014/main" id="{89638E9A-84AD-463F-B4F3-BAB6FB9DBDC8}"/>
            </a:ext>
          </a:extLst>
        </xdr:cNvPr>
        <xdr:cNvSpPr txBox="1"/>
      </xdr:nvSpPr>
      <xdr:spPr>
        <a:xfrm>
          <a:off x="139939712" y="38412737"/>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http://www.unh.edu/unhsc/sites/unh.edu.unhsc/files/docs/UNHSC.2012Report.10.10.12.pdf</a:t>
          </a:r>
        </a:p>
      </xdr:txBody>
    </xdr:sp>
    <xdr:clientData/>
  </xdr:twoCellAnchor>
  <xdr:twoCellAnchor>
    <xdr:from>
      <xdr:col>121</xdr:col>
      <xdr:colOff>139700</xdr:colOff>
      <xdr:row>18</xdr:row>
      <xdr:rowOff>1739900</xdr:rowOff>
    </xdr:from>
    <xdr:to>
      <xdr:col>121</xdr:col>
      <xdr:colOff>11772900</xdr:colOff>
      <xdr:row>18</xdr:row>
      <xdr:rowOff>1981200</xdr:rowOff>
    </xdr:to>
    <xdr:sp macro="" textlink="">
      <xdr:nvSpPr>
        <xdr:cNvPr id="284" name="TextBox 283">
          <a:hlinkClick xmlns:r="http://schemas.openxmlformats.org/officeDocument/2006/relationships" r:id="rId1"/>
          <a:extLst>
            <a:ext uri="{FF2B5EF4-FFF2-40B4-BE49-F238E27FC236}">
              <a16:creationId xmlns:a16="http://schemas.microsoft.com/office/drawing/2014/main" id="{D37AF68C-02E5-4B48-BA07-D4EB3D927A2B}"/>
            </a:ext>
          </a:extLst>
        </xdr:cNvPr>
        <xdr:cNvSpPr txBox="1"/>
      </xdr:nvSpPr>
      <xdr:spPr>
        <a:xfrm>
          <a:off x="139952412" y="39720837"/>
          <a:ext cx="11628438"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http://www.environment.fhwa.dot.gov/(S(kmqmwz45xwbdsd2xihcmnifc))/ecosystems/ultraurb/3fs11.asp </a:t>
          </a:r>
        </a:p>
      </xdr:txBody>
    </xdr:sp>
    <xdr:clientData/>
  </xdr:twoCellAnchor>
  <xdr:twoCellAnchor>
    <xdr:from>
      <xdr:col>121</xdr:col>
      <xdr:colOff>139700</xdr:colOff>
      <xdr:row>18</xdr:row>
      <xdr:rowOff>1270000</xdr:rowOff>
    </xdr:from>
    <xdr:to>
      <xdr:col>121</xdr:col>
      <xdr:colOff>11772900</xdr:colOff>
      <xdr:row>18</xdr:row>
      <xdr:rowOff>1511300</xdr:rowOff>
    </xdr:to>
    <xdr:sp macro="" textlink="">
      <xdr:nvSpPr>
        <xdr:cNvPr id="285" name="TextBox 284">
          <a:hlinkClick xmlns:r="http://schemas.openxmlformats.org/officeDocument/2006/relationships" r:id="rId1"/>
          <a:extLst>
            <a:ext uri="{FF2B5EF4-FFF2-40B4-BE49-F238E27FC236}">
              <a16:creationId xmlns:a16="http://schemas.microsoft.com/office/drawing/2014/main" id="{C0AA85B6-DE66-4B11-810F-3C5BF6ED7AF0}"/>
            </a:ext>
          </a:extLst>
        </xdr:cNvPr>
        <xdr:cNvSpPr txBox="1"/>
      </xdr:nvSpPr>
      <xdr:spPr>
        <a:xfrm>
          <a:off x="139952412" y="39250937"/>
          <a:ext cx="11628438"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http://www.academic.research.microsoft.com/Paper/2943904.aspx</a:t>
          </a:r>
        </a:p>
      </xdr:txBody>
    </xdr:sp>
    <xdr:clientData/>
  </xdr:twoCellAnchor>
  <xdr:twoCellAnchor>
    <xdr:from>
      <xdr:col>121</xdr:col>
      <xdr:colOff>152400</xdr:colOff>
      <xdr:row>18</xdr:row>
      <xdr:rowOff>762000</xdr:rowOff>
    </xdr:from>
    <xdr:to>
      <xdr:col>121</xdr:col>
      <xdr:colOff>11785600</xdr:colOff>
      <xdr:row>18</xdr:row>
      <xdr:rowOff>1003300</xdr:rowOff>
    </xdr:to>
    <xdr:sp macro="" textlink="">
      <xdr:nvSpPr>
        <xdr:cNvPr id="286" name="TextBox 285">
          <a:hlinkClick xmlns:r="http://schemas.openxmlformats.org/officeDocument/2006/relationships" r:id="rId1"/>
          <a:extLst>
            <a:ext uri="{FF2B5EF4-FFF2-40B4-BE49-F238E27FC236}">
              <a16:creationId xmlns:a16="http://schemas.microsoft.com/office/drawing/2014/main" id="{8A541923-4790-440F-90D3-8F955EEF24E7}"/>
            </a:ext>
          </a:extLst>
        </xdr:cNvPr>
        <xdr:cNvSpPr txBox="1"/>
      </xdr:nvSpPr>
      <xdr:spPr>
        <a:xfrm>
          <a:off x="139960350" y="38738175"/>
          <a:ext cx="11637962"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http://www.unh.edu/unhsc/sites/unh.edu.unhsc/files/pubs_specs_info/2009_unhsc_report.pdf </a:t>
          </a:r>
        </a:p>
      </xdr:txBody>
    </xdr:sp>
    <xdr:clientData/>
  </xdr:twoCellAnchor>
  <xdr:twoCellAnchor>
    <xdr:from>
      <xdr:col>121</xdr:col>
      <xdr:colOff>165100</xdr:colOff>
      <xdr:row>18</xdr:row>
      <xdr:rowOff>2413000</xdr:rowOff>
    </xdr:from>
    <xdr:to>
      <xdr:col>121</xdr:col>
      <xdr:colOff>11798300</xdr:colOff>
      <xdr:row>18</xdr:row>
      <xdr:rowOff>2654300</xdr:rowOff>
    </xdr:to>
    <xdr:sp macro="" textlink="">
      <xdr:nvSpPr>
        <xdr:cNvPr id="287" name="TextBox 286">
          <a:hlinkClick xmlns:r="http://schemas.openxmlformats.org/officeDocument/2006/relationships" r:id="rId1"/>
          <a:extLst>
            <a:ext uri="{FF2B5EF4-FFF2-40B4-BE49-F238E27FC236}">
              <a16:creationId xmlns:a16="http://schemas.microsoft.com/office/drawing/2014/main" id="{077D3060-8F29-4091-AC5B-0B8176D24124}"/>
            </a:ext>
          </a:extLst>
        </xdr:cNvPr>
        <xdr:cNvSpPr txBox="1"/>
      </xdr:nvSpPr>
      <xdr:spPr>
        <a:xfrm>
          <a:off x="139977812" y="40393937"/>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http://water.epa.gov/scitech/wastetech/upload/2002_06_28_mtb_biortn.pdf</a:t>
          </a:r>
        </a:p>
      </xdr:txBody>
    </xdr:sp>
    <xdr:clientData/>
  </xdr:twoCellAnchor>
  <xdr:twoCellAnchor>
    <xdr:from>
      <xdr:col>121</xdr:col>
      <xdr:colOff>139700</xdr:colOff>
      <xdr:row>18</xdr:row>
      <xdr:rowOff>2095500</xdr:rowOff>
    </xdr:from>
    <xdr:to>
      <xdr:col>121</xdr:col>
      <xdr:colOff>11772900</xdr:colOff>
      <xdr:row>18</xdr:row>
      <xdr:rowOff>2336800</xdr:rowOff>
    </xdr:to>
    <xdr:sp macro="" textlink="">
      <xdr:nvSpPr>
        <xdr:cNvPr id="288" name="TextBox 287">
          <a:hlinkClick xmlns:r="http://schemas.openxmlformats.org/officeDocument/2006/relationships" r:id="rId1"/>
          <a:extLst>
            <a:ext uri="{FF2B5EF4-FFF2-40B4-BE49-F238E27FC236}">
              <a16:creationId xmlns:a16="http://schemas.microsoft.com/office/drawing/2014/main" id="{0E9A076A-6DFE-4642-AADD-358825B35B00}"/>
            </a:ext>
          </a:extLst>
        </xdr:cNvPr>
        <xdr:cNvSpPr txBox="1"/>
      </xdr:nvSpPr>
      <xdr:spPr>
        <a:xfrm>
          <a:off x="139952412" y="40071675"/>
          <a:ext cx="11628438"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http://www.watershedmanagement.vt.gov/stormwater/docs/manualrevision/sw_Fact_Sheet_Enhanced_Nutrient_Removal.pdf</a:t>
          </a:r>
        </a:p>
      </xdr:txBody>
    </xdr:sp>
    <xdr:clientData/>
  </xdr:twoCellAnchor>
  <xdr:twoCellAnchor>
    <xdr:from>
      <xdr:col>121</xdr:col>
      <xdr:colOff>127000</xdr:colOff>
      <xdr:row>22</xdr:row>
      <xdr:rowOff>444500</xdr:rowOff>
    </xdr:from>
    <xdr:to>
      <xdr:col>121</xdr:col>
      <xdr:colOff>11760200</xdr:colOff>
      <xdr:row>22</xdr:row>
      <xdr:rowOff>685800</xdr:rowOff>
    </xdr:to>
    <xdr:sp macro="" textlink="">
      <xdr:nvSpPr>
        <xdr:cNvPr id="289" name="TextBox 288">
          <a:hlinkClick xmlns:r="http://schemas.openxmlformats.org/officeDocument/2006/relationships" r:id="rId1"/>
          <a:extLst>
            <a:ext uri="{FF2B5EF4-FFF2-40B4-BE49-F238E27FC236}">
              <a16:creationId xmlns:a16="http://schemas.microsoft.com/office/drawing/2014/main" id="{550A7389-CDE3-401B-9410-163DB2702B89}"/>
            </a:ext>
          </a:extLst>
        </xdr:cNvPr>
        <xdr:cNvSpPr txBox="1"/>
      </xdr:nvSpPr>
      <xdr:spPr>
        <a:xfrm>
          <a:off x="139939712" y="50341212"/>
          <a:ext cx="11633200"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http://www.unh.edu/unhsc/sites/unh.edu.unhsc/files/docs/UNHSC.2012Report.10.10.12.pdf</a:t>
          </a:r>
        </a:p>
      </xdr:txBody>
    </xdr:sp>
    <xdr:clientData/>
  </xdr:twoCellAnchor>
  <xdr:twoCellAnchor>
    <xdr:from>
      <xdr:col>121</xdr:col>
      <xdr:colOff>127000</xdr:colOff>
      <xdr:row>22</xdr:row>
      <xdr:rowOff>114300</xdr:rowOff>
    </xdr:from>
    <xdr:to>
      <xdr:col>121</xdr:col>
      <xdr:colOff>11760200</xdr:colOff>
      <xdr:row>22</xdr:row>
      <xdr:rowOff>355600</xdr:rowOff>
    </xdr:to>
    <xdr:sp macro="" textlink="">
      <xdr:nvSpPr>
        <xdr:cNvPr id="290" name="TextBox 289">
          <a:hlinkClick xmlns:r="http://schemas.openxmlformats.org/officeDocument/2006/relationships" r:id="rId1"/>
          <a:extLst>
            <a:ext uri="{FF2B5EF4-FFF2-40B4-BE49-F238E27FC236}">
              <a16:creationId xmlns:a16="http://schemas.microsoft.com/office/drawing/2014/main" id="{CA7B8798-4449-4752-B059-F536E7B79881}"/>
            </a:ext>
          </a:extLst>
        </xdr:cNvPr>
        <xdr:cNvSpPr txBox="1"/>
      </xdr:nvSpPr>
      <xdr:spPr>
        <a:xfrm>
          <a:off x="139939712" y="50006250"/>
          <a:ext cx="11633200"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http://www.unh.edu/unhsc/sites/unh.edu.unhsc/files/asce_jee_maintenance.pdf </a:t>
          </a:r>
        </a:p>
      </xdr:txBody>
    </xdr:sp>
    <xdr:clientData/>
  </xdr:twoCellAnchor>
  <xdr:twoCellAnchor editAs="oneCell">
    <xdr:from>
      <xdr:col>2</xdr:col>
      <xdr:colOff>139699</xdr:colOff>
      <xdr:row>22</xdr:row>
      <xdr:rowOff>955674</xdr:rowOff>
    </xdr:from>
    <xdr:to>
      <xdr:col>2</xdr:col>
      <xdr:colOff>1072197</xdr:colOff>
      <xdr:row>22</xdr:row>
      <xdr:rowOff>1879599</xdr:rowOff>
    </xdr:to>
    <xdr:pic>
      <xdr:nvPicPr>
        <xdr:cNvPr id="291" name="Picture 290">
          <a:extLst>
            <a:ext uri="{FF2B5EF4-FFF2-40B4-BE49-F238E27FC236}">
              <a16:creationId xmlns:a16="http://schemas.microsoft.com/office/drawing/2014/main" id="{8E7BA003-C8CE-47D1-8578-8392C764BD03}"/>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63811" y="50852386"/>
          <a:ext cx="932498" cy="923925"/>
        </a:xfrm>
        <a:prstGeom prst="rect">
          <a:avLst/>
        </a:prstGeom>
      </xdr:spPr>
    </xdr:pic>
    <xdr:clientData/>
  </xdr:twoCellAnchor>
  <xdr:oneCellAnchor>
    <xdr:from>
      <xdr:col>2</xdr:col>
      <xdr:colOff>174171</xdr:colOff>
      <xdr:row>19</xdr:row>
      <xdr:rowOff>925286</xdr:rowOff>
    </xdr:from>
    <xdr:ext cx="914400" cy="923925"/>
    <xdr:pic>
      <xdr:nvPicPr>
        <xdr:cNvPr id="292" name="Picture 291">
          <a:extLst>
            <a:ext uri="{FF2B5EF4-FFF2-40B4-BE49-F238E27FC236}">
              <a16:creationId xmlns:a16="http://schemas.microsoft.com/office/drawing/2014/main" id="{4A98EF68-843F-48D4-BE10-B8FA9C7C6BFC}"/>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2598283" y="42120911"/>
          <a:ext cx="914400" cy="923925"/>
        </a:xfrm>
        <a:prstGeom prst="rect">
          <a:avLst/>
        </a:prstGeom>
      </xdr:spPr>
    </xdr:pic>
    <xdr:clientData/>
  </xdr:oneCellAnchor>
  <xdr:twoCellAnchor>
    <xdr:from>
      <xdr:col>121</xdr:col>
      <xdr:colOff>114300</xdr:colOff>
      <xdr:row>19</xdr:row>
      <xdr:rowOff>101600</xdr:rowOff>
    </xdr:from>
    <xdr:to>
      <xdr:col>121</xdr:col>
      <xdr:colOff>11747500</xdr:colOff>
      <xdr:row>19</xdr:row>
      <xdr:rowOff>342900</xdr:rowOff>
    </xdr:to>
    <xdr:sp macro="" textlink="">
      <xdr:nvSpPr>
        <xdr:cNvPr id="293" name="TextBox 292">
          <a:hlinkClick xmlns:r="http://schemas.openxmlformats.org/officeDocument/2006/relationships" r:id="rId1"/>
          <a:extLst>
            <a:ext uri="{FF2B5EF4-FFF2-40B4-BE49-F238E27FC236}">
              <a16:creationId xmlns:a16="http://schemas.microsoft.com/office/drawing/2014/main" id="{0430190F-A9D9-486A-956B-6C1F828E80E8}"/>
            </a:ext>
          </a:extLst>
        </xdr:cNvPr>
        <xdr:cNvSpPr txBox="1"/>
      </xdr:nvSpPr>
      <xdr:spPr>
        <a:xfrm>
          <a:off x="139922250" y="41301987"/>
          <a:ext cx="11637962"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http://www.unh.edu/unhsc/sites/unh.edu.unhsc/files/asce_jee_maintenance.pdf </a:t>
          </a:r>
        </a:p>
      </xdr:txBody>
    </xdr:sp>
    <xdr:clientData/>
  </xdr:twoCellAnchor>
  <xdr:twoCellAnchor>
    <xdr:from>
      <xdr:col>121</xdr:col>
      <xdr:colOff>127000</xdr:colOff>
      <xdr:row>19</xdr:row>
      <xdr:rowOff>431800</xdr:rowOff>
    </xdr:from>
    <xdr:to>
      <xdr:col>121</xdr:col>
      <xdr:colOff>11760200</xdr:colOff>
      <xdr:row>19</xdr:row>
      <xdr:rowOff>673100</xdr:rowOff>
    </xdr:to>
    <xdr:sp macro="" textlink="">
      <xdr:nvSpPr>
        <xdr:cNvPr id="294" name="TextBox 293">
          <a:hlinkClick xmlns:r="http://schemas.openxmlformats.org/officeDocument/2006/relationships" r:id="rId1"/>
          <a:extLst>
            <a:ext uri="{FF2B5EF4-FFF2-40B4-BE49-F238E27FC236}">
              <a16:creationId xmlns:a16="http://schemas.microsoft.com/office/drawing/2014/main" id="{42D4359D-BE60-4CDE-8C3A-8935CDF3A03D}"/>
            </a:ext>
          </a:extLst>
        </xdr:cNvPr>
        <xdr:cNvSpPr txBox="1"/>
      </xdr:nvSpPr>
      <xdr:spPr>
        <a:xfrm>
          <a:off x="139939712" y="41632187"/>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http://www.unh.edu/unhsc/sites/unh.edu.unhsc/files/docs/UNHSC.2012Report.10.10.12.pdf</a:t>
          </a:r>
        </a:p>
      </xdr:txBody>
    </xdr:sp>
    <xdr:clientData/>
  </xdr:twoCellAnchor>
  <xdr:twoCellAnchor>
    <xdr:from>
      <xdr:col>121</xdr:col>
      <xdr:colOff>139700</xdr:colOff>
      <xdr:row>19</xdr:row>
      <xdr:rowOff>1739900</xdr:rowOff>
    </xdr:from>
    <xdr:to>
      <xdr:col>121</xdr:col>
      <xdr:colOff>11772900</xdr:colOff>
      <xdr:row>19</xdr:row>
      <xdr:rowOff>1981200</xdr:rowOff>
    </xdr:to>
    <xdr:sp macro="" textlink="">
      <xdr:nvSpPr>
        <xdr:cNvPr id="295" name="TextBox 294">
          <a:hlinkClick xmlns:r="http://schemas.openxmlformats.org/officeDocument/2006/relationships" r:id="rId1"/>
          <a:extLst>
            <a:ext uri="{FF2B5EF4-FFF2-40B4-BE49-F238E27FC236}">
              <a16:creationId xmlns:a16="http://schemas.microsoft.com/office/drawing/2014/main" id="{2A347118-0482-4481-BA09-0F04092D3BBE}"/>
            </a:ext>
          </a:extLst>
        </xdr:cNvPr>
        <xdr:cNvSpPr txBox="1"/>
      </xdr:nvSpPr>
      <xdr:spPr>
        <a:xfrm>
          <a:off x="139952412" y="42940287"/>
          <a:ext cx="11628438"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http://www.environment.fhwa.dot.gov/(S(kmqmwz45xwbdsd2xihcmnifc))/ecosystems/ultraurb/3fs11.asp </a:t>
          </a:r>
        </a:p>
      </xdr:txBody>
    </xdr:sp>
    <xdr:clientData/>
  </xdr:twoCellAnchor>
  <xdr:twoCellAnchor>
    <xdr:from>
      <xdr:col>121</xdr:col>
      <xdr:colOff>139700</xdr:colOff>
      <xdr:row>19</xdr:row>
      <xdr:rowOff>1270000</xdr:rowOff>
    </xdr:from>
    <xdr:to>
      <xdr:col>121</xdr:col>
      <xdr:colOff>11772900</xdr:colOff>
      <xdr:row>19</xdr:row>
      <xdr:rowOff>1511300</xdr:rowOff>
    </xdr:to>
    <xdr:sp macro="" textlink="">
      <xdr:nvSpPr>
        <xdr:cNvPr id="296" name="TextBox 295">
          <a:hlinkClick xmlns:r="http://schemas.openxmlformats.org/officeDocument/2006/relationships" r:id="rId1"/>
          <a:extLst>
            <a:ext uri="{FF2B5EF4-FFF2-40B4-BE49-F238E27FC236}">
              <a16:creationId xmlns:a16="http://schemas.microsoft.com/office/drawing/2014/main" id="{2E36BD42-D884-400D-9E9F-8BE7922531AA}"/>
            </a:ext>
          </a:extLst>
        </xdr:cNvPr>
        <xdr:cNvSpPr txBox="1"/>
      </xdr:nvSpPr>
      <xdr:spPr>
        <a:xfrm>
          <a:off x="139952412" y="42470387"/>
          <a:ext cx="11628438"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http://www.academic.research.microsoft.com/Paper/2943904.aspx</a:t>
          </a:r>
        </a:p>
      </xdr:txBody>
    </xdr:sp>
    <xdr:clientData/>
  </xdr:twoCellAnchor>
  <xdr:twoCellAnchor>
    <xdr:from>
      <xdr:col>121</xdr:col>
      <xdr:colOff>152400</xdr:colOff>
      <xdr:row>19</xdr:row>
      <xdr:rowOff>762000</xdr:rowOff>
    </xdr:from>
    <xdr:to>
      <xdr:col>121</xdr:col>
      <xdr:colOff>11785600</xdr:colOff>
      <xdr:row>19</xdr:row>
      <xdr:rowOff>1003300</xdr:rowOff>
    </xdr:to>
    <xdr:sp macro="" textlink="">
      <xdr:nvSpPr>
        <xdr:cNvPr id="297" name="TextBox 296">
          <a:hlinkClick xmlns:r="http://schemas.openxmlformats.org/officeDocument/2006/relationships" r:id="rId1"/>
          <a:extLst>
            <a:ext uri="{FF2B5EF4-FFF2-40B4-BE49-F238E27FC236}">
              <a16:creationId xmlns:a16="http://schemas.microsoft.com/office/drawing/2014/main" id="{2013DBBF-825C-4501-91AA-F550CC8ADA9E}"/>
            </a:ext>
          </a:extLst>
        </xdr:cNvPr>
        <xdr:cNvSpPr txBox="1"/>
      </xdr:nvSpPr>
      <xdr:spPr>
        <a:xfrm>
          <a:off x="139960350" y="41957625"/>
          <a:ext cx="11637962"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http://www.unh.edu/unhsc/sites/unh.edu.unhsc/files/pubs_specs_info/2009_unhsc_report.pdf </a:t>
          </a:r>
        </a:p>
      </xdr:txBody>
    </xdr:sp>
    <xdr:clientData/>
  </xdr:twoCellAnchor>
  <xdr:twoCellAnchor>
    <xdr:from>
      <xdr:col>121</xdr:col>
      <xdr:colOff>165100</xdr:colOff>
      <xdr:row>19</xdr:row>
      <xdr:rowOff>2413000</xdr:rowOff>
    </xdr:from>
    <xdr:to>
      <xdr:col>121</xdr:col>
      <xdr:colOff>11798300</xdr:colOff>
      <xdr:row>19</xdr:row>
      <xdr:rowOff>2654300</xdr:rowOff>
    </xdr:to>
    <xdr:sp macro="" textlink="">
      <xdr:nvSpPr>
        <xdr:cNvPr id="298" name="TextBox 297">
          <a:hlinkClick xmlns:r="http://schemas.openxmlformats.org/officeDocument/2006/relationships" r:id="rId1"/>
          <a:extLst>
            <a:ext uri="{FF2B5EF4-FFF2-40B4-BE49-F238E27FC236}">
              <a16:creationId xmlns:a16="http://schemas.microsoft.com/office/drawing/2014/main" id="{E38045CB-E68D-482D-8FEA-C7053109FD0C}"/>
            </a:ext>
          </a:extLst>
        </xdr:cNvPr>
        <xdr:cNvSpPr txBox="1"/>
      </xdr:nvSpPr>
      <xdr:spPr>
        <a:xfrm>
          <a:off x="139977812" y="43613387"/>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http://water.epa.gov/scitech/wastetech/upload/2002_06_28_mtb_biortn.pdf</a:t>
          </a:r>
        </a:p>
      </xdr:txBody>
    </xdr:sp>
    <xdr:clientData/>
  </xdr:twoCellAnchor>
  <xdr:twoCellAnchor>
    <xdr:from>
      <xdr:col>121</xdr:col>
      <xdr:colOff>139700</xdr:colOff>
      <xdr:row>19</xdr:row>
      <xdr:rowOff>2095500</xdr:rowOff>
    </xdr:from>
    <xdr:to>
      <xdr:col>121</xdr:col>
      <xdr:colOff>11772900</xdr:colOff>
      <xdr:row>19</xdr:row>
      <xdr:rowOff>2336800</xdr:rowOff>
    </xdr:to>
    <xdr:sp macro="" textlink="">
      <xdr:nvSpPr>
        <xdr:cNvPr id="299" name="TextBox 298">
          <a:hlinkClick xmlns:r="http://schemas.openxmlformats.org/officeDocument/2006/relationships" r:id="rId1"/>
          <a:extLst>
            <a:ext uri="{FF2B5EF4-FFF2-40B4-BE49-F238E27FC236}">
              <a16:creationId xmlns:a16="http://schemas.microsoft.com/office/drawing/2014/main" id="{1B246234-577C-4FF3-AB76-F8A9B4D8F229}"/>
            </a:ext>
          </a:extLst>
        </xdr:cNvPr>
        <xdr:cNvSpPr txBox="1"/>
      </xdr:nvSpPr>
      <xdr:spPr>
        <a:xfrm>
          <a:off x="139952412" y="43291125"/>
          <a:ext cx="11628438"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http://www.watershedmanagement.vt.gov/stormwater/docs/manualrevision/sw_Fact_Sheet_Enhanced_Nutrient_Removal.pdf</a:t>
          </a:r>
        </a:p>
      </xdr:txBody>
    </xdr:sp>
    <xdr:clientData/>
  </xdr:twoCellAnchor>
  <xdr:twoCellAnchor editAs="oneCell">
    <xdr:from>
      <xdr:col>2</xdr:col>
      <xdr:colOff>185057</xdr:colOff>
      <xdr:row>20</xdr:row>
      <xdr:rowOff>805544</xdr:rowOff>
    </xdr:from>
    <xdr:to>
      <xdr:col>2</xdr:col>
      <xdr:colOff>1119160</xdr:colOff>
      <xdr:row>20</xdr:row>
      <xdr:rowOff>1741714</xdr:rowOff>
    </xdr:to>
    <xdr:pic>
      <xdr:nvPicPr>
        <xdr:cNvPr id="300" name="Picture 299">
          <a:extLst>
            <a:ext uri="{FF2B5EF4-FFF2-40B4-BE49-F238E27FC236}">
              <a16:creationId xmlns:a16="http://schemas.microsoft.com/office/drawing/2014/main" id="{0AC4D897-7387-441E-B377-ED94D42C87FE}"/>
            </a:ext>
          </a:extLst>
        </xdr:cNvPr>
        <xdr:cNvPicPr>
          <a:picLocks noChangeAspect="1"/>
        </xdr:cNvPicPr>
      </xdr:nvPicPr>
      <xdr:blipFill>
        <a:blip xmlns:r="http://schemas.openxmlformats.org/officeDocument/2006/relationships" r:embed="rId76"/>
        <a:stretch>
          <a:fillRect/>
        </a:stretch>
      </xdr:blipFill>
      <xdr:spPr>
        <a:xfrm>
          <a:off x="2620736" y="47335170"/>
          <a:ext cx="934103" cy="936170"/>
        </a:xfrm>
        <a:prstGeom prst="rect">
          <a:avLst/>
        </a:prstGeom>
      </xdr:spPr>
    </xdr:pic>
    <xdr:clientData/>
  </xdr:twoCellAnchor>
  <xdr:twoCellAnchor editAs="oneCell">
    <xdr:from>
      <xdr:col>2</xdr:col>
      <xdr:colOff>217714</xdr:colOff>
      <xdr:row>21</xdr:row>
      <xdr:rowOff>816429</xdr:rowOff>
    </xdr:from>
    <xdr:to>
      <xdr:col>2</xdr:col>
      <xdr:colOff>1132193</xdr:colOff>
      <xdr:row>21</xdr:row>
      <xdr:rowOff>1768928</xdr:rowOff>
    </xdr:to>
    <xdr:pic>
      <xdr:nvPicPr>
        <xdr:cNvPr id="301" name="Picture 300">
          <a:extLst>
            <a:ext uri="{FF2B5EF4-FFF2-40B4-BE49-F238E27FC236}">
              <a16:creationId xmlns:a16="http://schemas.microsoft.com/office/drawing/2014/main" id="{6971F241-020C-47B0-8109-DEF74C567997}"/>
            </a:ext>
          </a:extLst>
        </xdr:cNvPr>
        <xdr:cNvPicPr>
          <a:picLocks noChangeAspect="1"/>
        </xdr:cNvPicPr>
      </xdr:nvPicPr>
      <xdr:blipFill>
        <a:blip xmlns:r="http://schemas.openxmlformats.org/officeDocument/2006/relationships" r:embed="rId77"/>
        <a:stretch>
          <a:fillRect/>
        </a:stretch>
      </xdr:blipFill>
      <xdr:spPr>
        <a:xfrm>
          <a:off x="2653393" y="50081090"/>
          <a:ext cx="914479" cy="9524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19050</xdr:colOff>
      <xdr:row>1</xdr:row>
      <xdr:rowOff>19051</xdr:rowOff>
    </xdr:from>
    <xdr:to>
      <xdr:col>4</xdr:col>
      <xdr:colOff>38100</xdr:colOff>
      <xdr:row>34</xdr:row>
      <xdr:rowOff>171450</xdr:rowOff>
    </xdr:to>
    <xdr:sp macro="" textlink="">
      <xdr:nvSpPr>
        <xdr:cNvPr id="2" name="TextBox 1">
          <a:extLst>
            <a:ext uri="{FF2B5EF4-FFF2-40B4-BE49-F238E27FC236}">
              <a16:creationId xmlns:a16="http://schemas.microsoft.com/office/drawing/2014/main" id="{9F4E4F76-2C91-4610-9127-BB99C4476D59}"/>
            </a:ext>
          </a:extLst>
        </xdr:cNvPr>
        <xdr:cNvSpPr txBox="1"/>
      </xdr:nvSpPr>
      <xdr:spPr>
        <a:xfrm>
          <a:off x="857250" y="209551"/>
          <a:ext cx="8315325" cy="6438899"/>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mn-lt"/>
              <a:ea typeface="+mn-ea"/>
              <a:cs typeface="+mn-cs"/>
            </a:rPr>
            <a:t>The stormwater management technologies presented in the Technologies Matrix represent a spectrum of approaches rather than a number of discrete choices.  For most technologies there are various design modifications that can be made to manipulate retention time, oxic and anoxic zones, and other system characteristics to optimize performance specific to the location and runoff composition.  Previously, the wide ranges in nutrient removal presented in the Tech Matrix for an individual approach reflected both the variety of sizing and design decisions that could be applied as well as the technology’s performance variability observed in the field.  As more and better performance data becomes available, common design approaches are now given separate rows in the Matrix illustrating how designs can be targeted for specific purposes (enhanced nitrogen removal, phosphorus removal, increased storage / decreased footprint, etc.).    Individual stormwater technologies shown in the Technologies Matrix may also be combined or sequenced to create larger stormwater treatment trains, and thus need not be viewed in isolation from one another.</a:t>
          </a:r>
        </a:p>
        <a:p>
          <a:endParaRPr lang="en-US" sz="1100"/>
        </a:p>
        <a:p>
          <a:r>
            <a:rPr lang="en-US" sz="1100">
              <a:solidFill>
                <a:schemeClr val="dk1"/>
              </a:solidFill>
              <a:effectLst/>
              <a:latin typeface="+mn-lt"/>
              <a:ea typeface="+mn-ea"/>
              <a:cs typeface="+mn-cs"/>
            </a:rPr>
            <a:t>Perhaps unlike many other technologies presented in the Technologies Matrix, selection of stormwater control measures may be influenced by other factors beyond solely their potential for nitrogen removal.  Stormwater projects may be compelled by permit requirements, subject to space constraints at a specific project site, or may be included as an element of a larger project (i.e. streetscape improvements). The purpose of the stormwater section of the Technologies Matrix is not only to help practitioners choose stormwater control measures that maximize nitrogen removal, but also to inform them of the range of nitrogen (and/or phosphorus) removal that can be expected for a given stormwater management approach that may already have been selected for other reasons or purposes.</a:t>
          </a:r>
        </a:p>
        <a:p>
          <a:endParaRPr lang="en-US"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When considering the potential impacts of climate change during stormwater system design, it is critical to consider the lifespan of the system and the magnitude of predicted impact (via sea level rise, loss of separation to groundwater, larger runoff volumes needing to be managed, etc.) within that lifespan.  Careful design modification can account for most potential climate change impacts without drastically altering system footprints, while still maintaining desired performance characteristics.</a:t>
          </a:r>
        </a:p>
        <a:p>
          <a:endParaRPr lang="en-US" sz="1100"/>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The 2019 Stormwater Revision to the Technologies Matrix attempts to incorporate the current best available information regarding the performance of stormwater technologies.  During the revision process, certain areas not currently included in the Technologies Matrix were identified where the currently available information is insufficient and further research is needed.  Infiltration technologies have significant potential on Cape Cod thanks to the highly permeable geology that is prevalent, yet there is little data available for determining how much nitrogen is removed through the process of infiltration, and how much is transported to other water bodies through groundwater flow.  Detention ponds have also been identified as a technology with somewhat significant potential for nitrogen removal, but actual removal can be offset by the lack of maintenance causing nitrogen leaching from decaying plants. Both infiltration measures and detention ponds warrant additional research to better determine their potential for removing nitrogen from stormwater.</a:t>
          </a:r>
        </a:p>
        <a:p>
          <a:endParaRPr lang="en-US" sz="1100"/>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Removal efficiencies ranges included in the Matrix are for technologies designed to treat 1 inch of runoff.  Links for the source of data is included in the Matrix. Some of the data sources include removal rates for systems designed to treat up to 2 inches of runoff. The users are advised to look up the additional sources of information if their technologies are sized to manage volume different than 1 inch of runoff. </a:t>
          </a:r>
        </a:p>
        <a:p>
          <a:pPr marL="0" marR="0" lvl="0" indent="0" defTabSz="914400" eaLnBrk="1" fontAlgn="auto" latinLnBrk="0" hangingPunct="1">
            <a:lnSpc>
              <a:spcPct val="100000"/>
            </a:lnSpc>
            <a:spcBef>
              <a:spcPts val="0"/>
            </a:spcBef>
            <a:spcAft>
              <a:spcPts val="0"/>
            </a:spcAft>
            <a:buClrTx/>
            <a:buSzTx/>
            <a:buFontTx/>
            <a:buNone/>
            <a:tabLst/>
            <a:defRPr/>
          </a:pPr>
          <a:endParaRPr lang="en-US"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The naming crosswalk below has been prepared to aid users</a:t>
          </a:r>
          <a:r>
            <a:rPr lang="en-US" sz="1100" baseline="0">
              <a:solidFill>
                <a:schemeClr val="dk1"/>
              </a:solidFill>
              <a:effectLst/>
              <a:latin typeface="+mn-lt"/>
              <a:ea typeface="+mn-ea"/>
              <a:cs typeface="+mn-cs"/>
            </a:rPr>
            <a:t> in comparing information from the Technologies Matrix to other state and federal stormwater resources. </a:t>
          </a:r>
          <a:endParaRPr lang="en-US" sz="1100">
            <a:solidFill>
              <a:schemeClr val="dk1"/>
            </a:solidFill>
            <a:effectLst/>
            <a:latin typeface="+mn-lt"/>
            <a:ea typeface="+mn-ea"/>
            <a:cs typeface="+mn-cs"/>
          </a:endParaRPr>
        </a:p>
        <a:p>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txDef>
      <a:spPr>
        <a:noFill/>
        <a:ln w="9525" cmpd="sng">
          <a:noFill/>
        </a:ln>
      </a:spPr>
      <a:bodyPr vertOverflow="clip" horzOverflow="clip" wrap="square" rtlCol="0" anchor="t"/>
      <a:lstStyle>
        <a:defPPr>
          <a:defRPr sz="1100"/>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apecodcommission.org/techmatrix/2017-Tech-Matrix-Update-References.pdf" TargetMode="External"/><Relationship Id="rId13" Type="http://schemas.openxmlformats.org/officeDocument/2006/relationships/hyperlink" Target="http://www.capecodcommission.org/techmatrix/2017-Tech-Matrix-Update-References.pdf" TargetMode="External"/><Relationship Id="rId18" Type="http://schemas.openxmlformats.org/officeDocument/2006/relationships/hyperlink" Target="http://www.capecodcommission.org/techmatrix/2017-Tech-Matrix-Update-References.pdf" TargetMode="External"/><Relationship Id="rId26" Type="http://schemas.openxmlformats.org/officeDocument/2006/relationships/hyperlink" Target="http://www.capecodcommission.org/techmatrix/2017-Tech-Matrix-Update-References.pdf" TargetMode="External"/><Relationship Id="rId39" Type="http://schemas.openxmlformats.org/officeDocument/2006/relationships/hyperlink" Target="http://www.capecodcommission.org/techmatrix/2017-Tech-Matrix-Update-References.pdf" TargetMode="External"/><Relationship Id="rId3" Type="http://schemas.openxmlformats.org/officeDocument/2006/relationships/hyperlink" Target="http://www.capecodcommission.org/techmatrix/2017-Tech-Matrix-Update-References.pdf" TargetMode="External"/><Relationship Id="rId21" Type="http://schemas.openxmlformats.org/officeDocument/2006/relationships/hyperlink" Target="http://www.capecodcommission.org/techmatrix/2017-Tech-Matrix-Update-References.pdf" TargetMode="External"/><Relationship Id="rId34" Type="http://schemas.openxmlformats.org/officeDocument/2006/relationships/hyperlink" Target="http://www.capecodcommission.org/techmatrix/2017-Tech-Matrix-Update-References.pdf" TargetMode="External"/><Relationship Id="rId42" Type="http://schemas.openxmlformats.org/officeDocument/2006/relationships/hyperlink" Target="http://www.capecodcommission.org/techmatrix/2017-Tech-Matrix-Update-References.pdf" TargetMode="External"/><Relationship Id="rId7" Type="http://schemas.openxmlformats.org/officeDocument/2006/relationships/hyperlink" Target="http://www.capecodcommission.org/techmatrix/2017-Tech-Matrix-Update-References.pdf" TargetMode="External"/><Relationship Id="rId12" Type="http://schemas.openxmlformats.org/officeDocument/2006/relationships/hyperlink" Target="http://www.capecodcommission.org/techmatrix/2017-Tech-Matrix-Update-References.pdf" TargetMode="External"/><Relationship Id="rId17" Type="http://schemas.openxmlformats.org/officeDocument/2006/relationships/hyperlink" Target="http://www.capecodcommission.org/techmatrix/2017-Tech-Matrix-Update-References.pdf" TargetMode="External"/><Relationship Id="rId25" Type="http://schemas.openxmlformats.org/officeDocument/2006/relationships/hyperlink" Target="http://www.capecodcommission.org/techmatrix/2017-Tech-Matrix-Update-References.pdf" TargetMode="External"/><Relationship Id="rId33" Type="http://schemas.openxmlformats.org/officeDocument/2006/relationships/hyperlink" Target="http://www.capecodcommission.org/techmatrix/2017-Tech-Matrix-Update-References.pdf" TargetMode="External"/><Relationship Id="rId38" Type="http://schemas.openxmlformats.org/officeDocument/2006/relationships/hyperlink" Target="http://www.capecodcommission.org/techmatrix/2017-Tech-Matrix-Update-References.pdf" TargetMode="External"/><Relationship Id="rId2" Type="http://schemas.openxmlformats.org/officeDocument/2006/relationships/hyperlink" Target="http://www.capecodcommission.org/techmatrix/2017-Tech-Matrix-Update-References.pdf" TargetMode="External"/><Relationship Id="rId16" Type="http://schemas.openxmlformats.org/officeDocument/2006/relationships/hyperlink" Target="http://www.capecodcommission.org/techmatrix/2017-Tech-Matrix-Update-References.pdf" TargetMode="External"/><Relationship Id="rId20" Type="http://schemas.openxmlformats.org/officeDocument/2006/relationships/hyperlink" Target="http://www.capecodcommission.org/techmatrix/2017-Tech-Matrix-Update-References.pdf" TargetMode="External"/><Relationship Id="rId29" Type="http://schemas.openxmlformats.org/officeDocument/2006/relationships/hyperlink" Target="http://www.capecodcommission.org/techmatrix/2017-Tech-Matrix-Update-References.pdf" TargetMode="External"/><Relationship Id="rId41" Type="http://schemas.openxmlformats.org/officeDocument/2006/relationships/hyperlink" Target="http://www.capecodcommission.org/techmatrix/2017-Tech-Matrix-Update-References.pdf" TargetMode="External"/><Relationship Id="rId1" Type="http://schemas.openxmlformats.org/officeDocument/2006/relationships/hyperlink" Target="http://www.capecodcommission.org/index.php?id=562" TargetMode="External"/><Relationship Id="rId6" Type="http://schemas.openxmlformats.org/officeDocument/2006/relationships/hyperlink" Target="http://www.capecodcommission.org/techmatrix/2017-Tech-Matrix-Update-References.pdf" TargetMode="External"/><Relationship Id="rId11" Type="http://schemas.openxmlformats.org/officeDocument/2006/relationships/hyperlink" Target="http://www.capecodcommission.org/techmatrix/2017-Tech-Matrix-Update-References.pdf" TargetMode="External"/><Relationship Id="rId24" Type="http://schemas.openxmlformats.org/officeDocument/2006/relationships/hyperlink" Target="http://www.capecodcommission.org/techmatrix/2017-Tech-Matrix-Update-References.pdf" TargetMode="External"/><Relationship Id="rId32" Type="http://schemas.openxmlformats.org/officeDocument/2006/relationships/hyperlink" Target="http://www.capecodcommission.org/techmatrix/2017-Tech-Matrix-Update-References.pdf" TargetMode="External"/><Relationship Id="rId37" Type="http://schemas.openxmlformats.org/officeDocument/2006/relationships/hyperlink" Target="http://www.capecodcommission.org/techmatrix/2017-Tech-Matrix-Update-References.pdf" TargetMode="External"/><Relationship Id="rId40" Type="http://schemas.openxmlformats.org/officeDocument/2006/relationships/hyperlink" Target="http://www.capecodcommission.org/techmatrix/2017-Tech-Matrix-Update-References.pdf" TargetMode="External"/><Relationship Id="rId45" Type="http://schemas.openxmlformats.org/officeDocument/2006/relationships/drawing" Target="../drawings/drawing1.xml"/><Relationship Id="rId5" Type="http://schemas.openxmlformats.org/officeDocument/2006/relationships/hyperlink" Target="http://www.capecodcommission.org/techmatrix/2017-Tech-Matrix-Update-References.pdf" TargetMode="External"/><Relationship Id="rId15" Type="http://schemas.openxmlformats.org/officeDocument/2006/relationships/hyperlink" Target="http://www.capecodcommission.org/techmatrix/2017-Tech-Matrix-Update-References.pdf" TargetMode="External"/><Relationship Id="rId23" Type="http://schemas.openxmlformats.org/officeDocument/2006/relationships/hyperlink" Target="http://www.capecodcommission.org/techmatrix/2017%20Update-References.pdf" TargetMode="External"/><Relationship Id="rId28" Type="http://schemas.openxmlformats.org/officeDocument/2006/relationships/hyperlink" Target="http://www.capecodcommission.org/techmatrix/2017-Tech-Matrix-Update-References.pdf" TargetMode="External"/><Relationship Id="rId36" Type="http://schemas.openxmlformats.org/officeDocument/2006/relationships/hyperlink" Target="http://www.capecodcommission.org/techmatrix/2017-Tech-Matrix-Update-References.pdf" TargetMode="External"/><Relationship Id="rId10" Type="http://schemas.openxmlformats.org/officeDocument/2006/relationships/hyperlink" Target="http://www.capecodcommission.org/techmatrix/2017-Tech-Matrix-Update-References.pdf" TargetMode="External"/><Relationship Id="rId19" Type="http://schemas.openxmlformats.org/officeDocument/2006/relationships/hyperlink" Target="http://www.capecodcommission.org/techmatrix/2017-Tech-Matrix-Update-References.pdf" TargetMode="External"/><Relationship Id="rId31" Type="http://schemas.openxmlformats.org/officeDocument/2006/relationships/hyperlink" Target="http://www.capecodcommission.org/techmatrix/2017-Tech-Matrix-Update-References.pdf" TargetMode="External"/><Relationship Id="rId44" Type="http://schemas.openxmlformats.org/officeDocument/2006/relationships/printerSettings" Target="../printerSettings/printerSettings1.bin"/><Relationship Id="rId4" Type="http://schemas.openxmlformats.org/officeDocument/2006/relationships/hyperlink" Target="http://www.capecodcommission.org/techmatrix/2017-Tech-Matrix-Update-References.pdf" TargetMode="External"/><Relationship Id="rId9" Type="http://schemas.openxmlformats.org/officeDocument/2006/relationships/hyperlink" Target="http://www.capecodcommission.org/techmatrix/2017-Tech-Matrix-Update-References.pdf" TargetMode="External"/><Relationship Id="rId14" Type="http://schemas.openxmlformats.org/officeDocument/2006/relationships/hyperlink" Target="http://www.capecodcommission.org/techmatrix/2017-Tech-Matrix-Update-References.pdf" TargetMode="External"/><Relationship Id="rId22" Type="http://schemas.openxmlformats.org/officeDocument/2006/relationships/hyperlink" Target="http://www.capecodcommission.org/techmatrix/2017-Tech-Matrix-Update-References.pdf" TargetMode="External"/><Relationship Id="rId27" Type="http://schemas.openxmlformats.org/officeDocument/2006/relationships/hyperlink" Target="http://www.capecodcommission.org/techmatrix/2017-Tech-Matrix-Update-References.pdf" TargetMode="External"/><Relationship Id="rId30" Type="http://schemas.openxmlformats.org/officeDocument/2006/relationships/hyperlink" Target="http://www.capecodcommission.org/techmatrix/2017-Tech-Matrix-Update-References.pdf" TargetMode="External"/><Relationship Id="rId35" Type="http://schemas.openxmlformats.org/officeDocument/2006/relationships/hyperlink" Target="http://www.capecodcommission.org/techmatrix/2017-Tech-Matrix-Update-References.pdf" TargetMode="External"/><Relationship Id="rId43" Type="http://schemas.openxmlformats.org/officeDocument/2006/relationships/hyperlink" Target="http://www.capecodcommission.org/techmatrix/2017-Tech-Matrix-Update-References.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EJ190"/>
  <sheetViews>
    <sheetView showGridLines="0" tabSelected="1" zoomScale="70" zoomScaleNormal="70" workbookViewId="0">
      <pane xSplit="3" ySplit="6" topLeftCell="D34" activePane="bottomRight" state="frozen"/>
      <selection pane="topRight" activeCell="D1" sqref="D1"/>
      <selection pane="bottomLeft" activeCell="A7" sqref="A7"/>
      <selection pane="bottomRight" activeCell="DB19" sqref="DB19"/>
    </sheetView>
  </sheetViews>
  <sheetFormatPr defaultColWidth="8.59765625" defaultRowHeight="15.75" x14ac:dyDescent="0.2"/>
  <cols>
    <col min="1" max="1" width="6.69921875" style="1" customWidth="1"/>
    <col min="2" max="2" width="18.69921875" style="1" customWidth="1"/>
    <col min="3" max="3" width="12.69921875" style="1" customWidth="1"/>
    <col min="4" max="4" width="12.69921875" style="2" customWidth="1"/>
    <col min="5" max="5" width="36.69921875" style="1" customWidth="1"/>
    <col min="6" max="6" width="14.69921875" style="1" customWidth="1"/>
    <col min="7" max="7" width="12.69921875" style="1" hidden="1" customWidth="1"/>
    <col min="8" max="8" width="12.69921875" style="1" customWidth="1"/>
    <col min="9" max="9" width="22.69921875" style="26" customWidth="1"/>
    <col min="10" max="10" width="36.69921875" style="1" customWidth="1"/>
    <col min="11" max="11" width="29.59765625" style="2" hidden="1" customWidth="1"/>
    <col min="12" max="12" width="12.69921875" style="1" customWidth="1"/>
    <col min="13" max="13" width="10.09765625" style="55" customWidth="1"/>
    <col min="14" max="15" width="10.69921875" style="2" hidden="1" customWidth="1"/>
    <col min="16" max="16" width="10.09765625" style="133" customWidth="1"/>
    <col min="17" max="22" width="10.69921875" style="130" customWidth="1"/>
    <col min="23" max="24" width="12.69921875" style="131" hidden="1" customWidth="1"/>
    <col min="25" max="26" width="9.69921875" style="130" hidden="1" customWidth="1"/>
    <col min="27" max="29" width="9.69921875" style="132" customWidth="1"/>
    <col min="30" max="31" width="9.69921875" style="130" hidden="1" customWidth="1"/>
    <col min="32" max="33" width="9.69921875" style="130" customWidth="1"/>
    <col min="34" max="36" width="9.69921875" style="1" hidden="1" customWidth="1"/>
    <col min="37" max="38" width="9.69921875" style="125" hidden="1" customWidth="1"/>
    <col min="39" max="39" width="10.296875" style="125" customWidth="1"/>
    <col min="40" max="40" width="9.69921875" style="131" hidden="1" customWidth="1"/>
    <col min="41" max="41" width="9.69921875" style="131" customWidth="1"/>
    <col min="42" max="43" width="9.69921875" style="125" hidden="1" customWidth="1"/>
    <col min="44" max="44" width="9.69921875" style="125" customWidth="1"/>
    <col min="45" max="49" width="9.69921875" style="125" hidden="1" customWidth="1"/>
    <col min="50" max="50" width="9.69921875" style="125" customWidth="1"/>
    <col min="51" max="51" width="9.69921875" style="131" hidden="1" customWidth="1"/>
    <col min="52" max="53" width="9.69921875" style="129" customWidth="1"/>
    <col min="54" max="54" width="24.69921875" style="1" hidden="1" customWidth="1"/>
    <col min="55" max="56" width="9.69921875" style="125" hidden="1" customWidth="1"/>
    <col min="57" max="57" width="9.69921875" style="125" customWidth="1"/>
    <col min="58" max="59" width="9.69921875" style="125" hidden="1" customWidth="1"/>
    <col min="60" max="60" width="9.69921875" style="125" customWidth="1"/>
    <col min="61" max="62" width="10.69921875" style="134" customWidth="1"/>
    <col min="63" max="63" width="10.69921875" style="134" hidden="1" customWidth="1"/>
    <col min="64" max="64" width="10.69921875" style="134" customWidth="1"/>
    <col min="65" max="65" width="10.69921875" style="125" hidden="1" customWidth="1"/>
    <col min="66" max="66" width="10.69921875" style="125" customWidth="1"/>
    <col min="67" max="67" width="10.69921875" style="125" hidden="1" customWidth="1"/>
    <col min="68" max="68" width="10.69921875" style="125" customWidth="1"/>
    <col min="69" max="74" width="10.69921875" style="125" hidden="1" customWidth="1"/>
    <col min="75" max="76" width="11.69921875" style="125" hidden="1" customWidth="1"/>
    <col min="77" max="80" width="11.69921875" style="125" customWidth="1"/>
    <col min="81" max="83" width="11.69921875" style="125" hidden="1" customWidth="1"/>
    <col min="84" max="86" width="11.69921875" style="125" customWidth="1"/>
    <col min="87" max="90" width="14.69921875" style="125" hidden="1" customWidth="1"/>
    <col min="91" max="102" width="11.69921875" style="125" hidden="1" customWidth="1"/>
    <col min="103" max="103" width="18" style="135" customWidth="1"/>
    <col min="104" max="104" width="12.69921875" style="135" customWidth="1"/>
    <col min="105" max="107" width="10.69921875" style="135" customWidth="1"/>
    <col min="108" max="109" width="40.69921875" style="1" customWidth="1"/>
    <col min="110" max="113" width="12.69921875" style="2" customWidth="1"/>
    <col min="114" max="114" width="22" style="2" customWidth="1"/>
    <col min="115" max="116" width="12.69921875" style="2" customWidth="1"/>
    <col min="117" max="117" width="19.19921875" style="2" customWidth="1"/>
    <col min="118" max="118" width="12.69921875" style="2" customWidth="1"/>
    <col min="119" max="119" width="17" style="2" customWidth="1"/>
    <col min="120" max="120" width="19.09765625" style="2" customWidth="1"/>
    <col min="121" max="121" width="18.69921875" style="528" customWidth="1"/>
    <col min="122" max="122" width="47" style="535" customWidth="1"/>
    <col min="123" max="123" width="152.296875" style="1" customWidth="1"/>
    <col min="124" max="124" width="40.69921875" style="1" hidden="1" customWidth="1"/>
    <col min="125" max="16384" width="8.59765625" style="1"/>
  </cols>
  <sheetData>
    <row r="1" spans="1:132" ht="12.75" customHeight="1" x14ac:dyDescent="0.2">
      <c r="A1" s="7"/>
      <c r="B1" s="283"/>
      <c r="C1" s="283"/>
      <c r="D1" s="234"/>
      <c r="E1" s="28"/>
      <c r="F1" s="16"/>
      <c r="G1" s="16"/>
      <c r="H1" s="16"/>
      <c r="I1" s="28"/>
      <c r="J1" s="28"/>
      <c r="K1" s="16"/>
      <c r="L1" s="839" t="s">
        <v>645</v>
      </c>
      <c r="N1" s="8"/>
      <c r="O1" s="8"/>
      <c r="P1" s="49"/>
      <c r="Q1" s="49"/>
      <c r="R1" s="49"/>
      <c r="S1" s="49" t="s">
        <v>58</v>
      </c>
      <c r="T1" s="49"/>
      <c r="U1" s="49"/>
      <c r="V1" s="49"/>
      <c r="W1" s="45"/>
      <c r="X1" s="45"/>
      <c r="Y1" s="49"/>
      <c r="Z1" s="49"/>
      <c r="AA1" s="98"/>
      <c r="AB1" s="98"/>
      <c r="AC1" s="839" t="s">
        <v>644</v>
      </c>
      <c r="AD1" s="49"/>
      <c r="AE1" s="49"/>
      <c r="AF1" s="49"/>
      <c r="AG1" s="49"/>
      <c r="AH1" s="16"/>
      <c r="AI1" s="16"/>
      <c r="AJ1" s="16"/>
      <c r="AK1" s="34"/>
      <c r="AL1" s="34"/>
      <c r="AM1" s="34"/>
      <c r="AN1" s="45"/>
      <c r="AO1" s="45"/>
      <c r="AP1" s="34"/>
      <c r="AQ1" s="34"/>
      <c r="AR1" s="34"/>
      <c r="AS1" s="34"/>
      <c r="AT1" s="34"/>
      <c r="AU1" s="34"/>
      <c r="AV1" s="34"/>
      <c r="AW1" s="34"/>
      <c r="AX1" s="34"/>
      <c r="AY1" s="45"/>
      <c r="AZ1" s="45"/>
      <c r="BA1" s="45"/>
      <c r="BB1" s="8"/>
      <c r="BC1" s="34"/>
      <c r="BD1" s="34"/>
      <c r="BE1" s="839" t="s">
        <v>646</v>
      </c>
      <c r="BF1" s="34"/>
      <c r="BG1" s="34"/>
      <c r="BH1" s="839" t="s">
        <v>648</v>
      </c>
      <c r="BI1" s="839" t="s">
        <v>647</v>
      </c>
      <c r="BJ1" s="61"/>
      <c r="BK1" s="61"/>
      <c r="BL1" s="839" t="s">
        <v>649</v>
      </c>
      <c r="BM1" s="34"/>
      <c r="BN1" s="34"/>
      <c r="BO1" s="34"/>
      <c r="BP1" s="34"/>
      <c r="BQ1" s="34"/>
      <c r="BR1" s="839" t="s">
        <v>650</v>
      </c>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839" t="s">
        <v>651</v>
      </c>
      <c r="CS1" s="34"/>
      <c r="CT1" s="34"/>
      <c r="CU1" s="34"/>
      <c r="CV1" s="34"/>
      <c r="CW1" s="34"/>
      <c r="CX1" s="34"/>
      <c r="CY1" s="60"/>
      <c r="CZ1" s="60"/>
      <c r="DA1" s="60"/>
      <c r="DB1" s="60"/>
      <c r="DC1" s="60"/>
      <c r="DD1" s="28"/>
      <c r="DE1" s="28"/>
      <c r="DF1" s="16"/>
      <c r="DG1" s="16"/>
      <c r="DH1" s="16"/>
      <c r="DI1" s="16"/>
      <c r="DJ1" s="16"/>
      <c r="DK1" s="16"/>
      <c r="DL1" s="16"/>
      <c r="DM1" s="16"/>
      <c r="DN1" s="16"/>
      <c r="DO1" s="16"/>
      <c r="DP1" s="16"/>
      <c r="DQ1" s="161"/>
      <c r="DR1" s="529"/>
      <c r="DS1" s="28"/>
      <c r="DT1" s="28"/>
      <c r="DU1" s="28"/>
      <c r="DV1" s="28"/>
      <c r="DW1" s="28"/>
      <c r="DX1" s="28"/>
      <c r="DY1" s="28"/>
      <c r="DZ1" s="28"/>
      <c r="EA1" s="28"/>
      <c r="EB1" s="28"/>
    </row>
    <row r="2" spans="1:132" ht="15" customHeight="1" x14ac:dyDescent="0.2">
      <c r="A2" s="190"/>
      <c r="B2" s="283" t="s">
        <v>491</v>
      </c>
      <c r="C2" s="283"/>
      <c r="D2" s="234"/>
      <c r="E2" s="28"/>
      <c r="F2" s="16"/>
      <c r="G2" s="16"/>
      <c r="H2" s="16"/>
      <c r="I2" s="28"/>
      <c r="J2" s="28"/>
      <c r="K2" s="16"/>
      <c r="L2" s="839"/>
      <c r="M2" s="1"/>
      <c r="N2" s="1"/>
      <c r="O2" s="56" t="s">
        <v>492</v>
      </c>
      <c r="P2" s="320">
        <v>160</v>
      </c>
      <c r="Q2" s="241"/>
      <c r="R2" s="118"/>
      <c r="S2" s="49"/>
      <c r="T2" s="49"/>
      <c r="U2" s="118"/>
      <c r="V2" s="118"/>
      <c r="W2" s="122"/>
      <c r="X2" s="123"/>
      <c r="Y2" s="124"/>
      <c r="Z2" s="49"/>
      <c r="AA2" s="98"/>
      <c r="AB2" s="98"/>
      <c r="AC2" s="839"/>
      <c r="AD2" s="49"/>
      <c r="AE2" s="49"/>
      <c r="AF2" s="49"/>
      <c r="AG2" s="49"/>
      <c r="AH2" s="16"/>
      <c r="AI2" s="16"/>
      <c r="AJ2" s="16"/>
      <c r="AL2" s="849" t="s">
        <v>59</v>
      </c>
      <c r="AM2" s="850"/>
      <c r="AN2" s="321">
        <v>0.4</v>
      </c>
      <c r="AO2" s="103"/>
      <c r="AQ2" s="126"/>
      <c r="AR2" s="126"/>
      <c r="AS2" s="126"/>
      <c r="AT2" s="126"/>
      <c r="AU2" s="126"/>
      <c r="AV2" s="34"/>
      <c r="AW2" s="34"/>
      <c r="AX2" s="34"/>
      <c r="AY2" s="45"/>
      <c r="AZ2" s="127"/>
      <c r="BA2" s="46"/>
      <c r="BB2" s="9"/>
      <c r="BC2" s="34"/>
      <c r="BD2" s="34"/>
      <c r="BE2" s="839"/>
      <c r="BF2" s="34"/>
      <c r="BG2" s="34"/>
      <c r="BH2" s="839"/>
      <c r="BI2" s="839"/>
      <c r="BJ2" s="128"/>
      <c r="BK2" s="128"/>
      <c r="BL2" s="839"/>
      <c r="BM2" s="34"/>
      <c r="BN2" s="34"/>
      <c r="BO2" s="34"/>
      <c r="BP2" s="34"/>
      <c r="BQ2" s="34"/>
      <c r="BR2" s="839"/>
      <c r="BS2" s="34"/>
      <c r="BT2" s="34"/>
      <c r="BU2" s="34"/>
      <c r="BV2" s="34"/>
      <c r="BX2" s="35" t="s">
        <v>557</v>
      </c>
      <c r="BY2" s="322">
        <v>0.05</v>
      </c>
      <c r="BZ2" s="31" t="s">
        <v>517</v>
      </c>
      <c r="CA2" s="37" t="s">
        <v>15</v>
      </c>
      <c r="CB2" s="323">
        <v>20</v>
      </c>
      <c r="CC2" s="38" t="s">
        <v>516</v>
      </c>
      <c r="CF2" s="38"/>
      <c r="CG2" s="38"/>
      <c r="CH2" s="38"/>
      <c r="CI2" s="38"/>
      <c r="CJ2" s="38"/>
      <c r="CK2" s="38"/>
      <c r="CL2" s="38"/>
      <c r="CM2" s="344"/>
      <c r="CN2" s="37"/>
      <c r="CO2" s="31"/>
      <c r="CP2" s="31"/>
      <c r="CQ2" s="37"/>
      <c r="CR2" s="839"/>
      <c r="CS2" s="343"/>
      <c r="CT2" s="344"/>
      <c r="CV2" s="38"/>
      <c r="CW2" s="38"/>
      <c r="CX2" s="38"/>
      <c r="CY2" s="38"/>
      <c r="CZ2" s="38"/>
      <c r="DA2" s="38"/>
      <c r="DB2" s="38"/>
      <c r="DC2" s="38"/>
      <c r="DD2" s="28"/>
      <c r="DE2" s="28"/>
      <c r="DF2" s="16"/>
      <c r="DG2" s="16"/>
      <c r="DH2" s="16"/>
      <c r="DI2" s="16"/>
      <c r="DJ2" s="16"/>
      <c r="DK2" s="16"/>
      <c r="DL2" s="16"/>
      <c r="DM2" s="16"/>
      <c r="DN2" s="16"/>
      <c r="DO2" s="16"/>
      <c r="DP2" s="16"/>
      <c r="DQ2" s="161"/>
      <c r="DR2" s="529"/>
      <c r="DS2" s="28"/>
      <c r="DT2" s="28"/>
      <c r="DU2" s="28"/>
      <c r="DV2" s="28"/>
      <c r="DW2" s="28"/>
      <c r="DX2" s="28"/>
      <c r="DY2" s="28"/>
      <c r="DZ2" s="28"/>
      <c r="EA2" s="28"/>
      <c r="EB2" s="28"/>
    </row>
    <row r="3" spans="1:132" ht="13.5" customHeight="1" thickBot="1" x14ac:dyDescent="0.25">
      <c r="A3" s="7"/>
      <c r="B3" s="283"/>
      <c r="C3" s="283"/>
      <c r="D3" s="234"/>
      <c r="E3" s="28"/>
      <c r="F3" s="16"/>
      <c r="G3" s="16"/>
      <c r="H3" s="16"/>
      <c r="I3" s="28"/>
      <c r="J3" s="28"/>
      <c r="K3" s="16"/>
      <c r="L3" s="840"/>
      <c r="N3" s="8"/>
      <c r="O3" s="8"/>
      <c r="P3" s="49"/>
      <c r="Q3" s="49"/>
      <c r="R3" s="49"/>
      <c r="S3" s="49"/>
      <c r="T3" s="49"/>
      <c r="U3" s="49"/>
      <c r="V3" s="49"/>
      <c r="W3" s="45"/>
      <c r="X3" s="45"/>
      <c r="Y3" s="49"/>
      <c r="Z3" s="49"/>
      <c r="AA3" s="98"/>
      <c r="AB3" s="98"/>
      <c r="AC3" s="840"/>
      <c r="AD3" s="49"/>
      <c r="AE3" s="49"/>
      <c r="AF3" s="49"/>
      <c r="AG3" s="49"/>
      <c r="AH3" s="16"/>
      <c r="AI3" s="16"/>
      <c r="AJ3" s="16"/>
      <c r="AK3" s="34"/>
      <c r="AL3" s="34"/>
      <c r="AM3" s="34"/>
      <c r="AN3" s="45"/>
      <c r="AO3" s="45"/>
      <c r="AP3" s="34"/>
      <c r="AQ3" s="34"/>
      <c r="AR3" s="34"/>
      <c r="AS3" s="34"/>
      <c r="AT3" s="34"/>
      <c r="AU3" s="34"/>
      <c r="AV3" s="34"/>
      <c r="AW3" s="34"/>
      <c r="AX3" s="34"/>
      <c r="AY3" s="45"/>
      <c r="AZ3" s="45"/>
      <c r="BA3" s="45"/>
      <c r="BB3" s="8"/>
      <c r="BC3" s="34"/>
      <c r="BD3" s="34"/>
      <c r="BE3" s="840"/>
      <c r="BF3" s="34"/>
      <c r="BG3" s="34"/>
      <c r="BH3" s="840"/>
      <c r="BI3" s="840"/>
      <c r="BJ3" s="61"/>
      <c r="BK3" s="61"/>
      <c r="BL3" s="840"/>
      <c r="BM3" s="34"/>
      <c r="BN3" s="34"/>
      <c r="BO3" s="34"/>
      <c r="BP3" s="34"/>
      <c r="BQ3" s="34"/>
      <c r="BR3" s="840"/>
      <c r="BS3" s="34"/>
      <c r="BT3" s="34"/>
      <c r="BU3" s="34"/>
      <c r="BV3" s="34"/>
      <c r="BW3" s="39"/>
      <c r="BX3" s="40"/>
      <c r="BY3" s="38"/>
      <c r="BZ3" s="38"/>
      <c r="CA3" s="38"/>
      <c r="CB3" s="38"/>
      <c r="CC3" s="34"/>
      <c r="CD3" s="34"/>
      <c r="CE3" s="34"/>
      <c r="CF3" s="34"/>
      <c r="CG3" s="34"/>
      <c r="CH3" s="34"/>
      <c r="CI3" s="34"/>
      <c r="CJ3" s="34"/>
      <c r="CK3" s="34"/>
      <c r="CL3" s="34"/>
      <c r="CM3" s="39"/>
      <c r="CN3" s="40"/>
      <c r="CO3" s="38"/>
      <c r="CP3" s="38"/>
      <c r="CQ3" s="38"/>
      <c r="CR3" s="842"/>
      <c r="CS3" s="34"/>
      <c r="CT3" s="34"/>
      <c r="CU3" s="34"/>
      <c r="CV3" s="34"/>
      <c r="CW3" s="34"/>
      <c r="CX3" s="34"/>
      <c r="CY3" s="60"/>
      <c r="CZ3" s="60"/>
      <c r="DA3" s="60"/>
      <c r="DB3" s="60"/>
      <c r="DC3" s="60"/>
      <c r="DD3" s="28"/>
      <c r="DE3" s="28"/>
      <c r="DF3" s="16"/>
      <c r="DG3" s="16"/>
      <c r="DH3" s="16"/>
      <c r="DI3" s="16"/>
      <c r="DJ3" s="16"/>
      <c r="DK3" s="16"/>
      <c r="DL3" s="16"/>
      <c r="DM3" s="16"/>
      <c r="DN3" s="16"/>
      <c r="DO3" s="16"/>
      <c r="DP3" s="16"/>
      <c r="DQ3" s="161"/>
      <c r="DR3" s="529"/>
      <c r="DS3" s="28"/>
      <c r="DT3" s="28"/>
      <c r="DU3" s="28"/>
      <c r="DV3" s="28"/>
      <c r="DW3" s="28"/>
      <c r="DX3" s="28"/>
      <c r="DY3" s="28"/>
      <c r="DZ3" s="28"/>
      <c r="EA3" s="28"/>
      <c r="EB3" s="28"/>
    </row>
    <row r="4" spans="1:132" s="2" customFormat="1" ht="41.25" customHeight="1" thickTop="1" x14ac:dyDescent="0.2">
      <c r="A4" s="768"/>
      <c r="B4" s="703" t="s">
        <v>305</v>
      </c>
      <c r="C4" s="710" t="s">
        <v>498</v>
      </c>
      <c r="D4" s="395"/>
      <c r="E4" s="706" t="s">
        <v>60</v>
      </c>
      <c r="F4" s="706" t="s">
        <v>499</v>
      </c>
      <c r="G4" s="734" t="s">
        <v>61</v>
      </c>
      <c r="H4" s="763" t="s">
        <v>501</v>
      </c>
      <c r="I4" s="710" t="s">
        <v>430</v>
      </c>
      <c r="J4" s="710" t="s">
        <v>502</v>
      </c>
      <c r="K4" s="598" t="s">
        <v>558</v>
      </c>
      <c r="L4" s="719" t="s">
        <v>562</v>
      </c>
      <c r="M4" s="726" t="s">
        <v>657</v>
      </c>
      <c r="N4" s="727"/>
      <c r="O4" s="727"/>
      <c r="P4" s="728" t="s">
        <v>504</v>
      </c>
      <c r="Q4" s="722" t="s">
        <v>656</v>
      </c>
      <c r="R4" s="723"/>
      <c r="S4" s="731" t="s">
        <v>505</v>
      </c>
      <c r="T4" s="732"/>
      <c r="U4" s="732"/>
      <c r="V4" s="733"/>
      <c r="W4" s="868" t="s">
        <v>506</v>
      </c>
      <c r="X4" s="862" t="s">
        <v>507</v>
      </c>
      <c r="Y4" s="851" t="s">
        <v>511</v>
      </c>
      <c r="Z4" s="852"/>
      <c r="AA4" s="852"/>
      <c r="AB4" s="852"/>
      <c r="AC4" s="852"/>
      <c r="AD4" s="852"/>
      <c r="AE4" s="852"/>
      <c r="AF4" s="852"/>
      <c r="AG4" s="853"/>
      <c r="AH4" s="416" t="s">
        <v>526</v>
      </c>
      <c r="AI4" s="413"/>
      <c r="AJ4" s="413"/>
      <c r="AK4" s="413"/>
      <c r="AL4" s="413"/>
      <c r="AM4" s="425" t="s">
        <v>526</v>
      </c>
      <c r="AN4" s="426"/>
      <c r="AO4" s="426"/>
      <c r="AP4" s="426"/>
      <c r="AQ4" s="426"/>
      <c r="AR4" s="426"/>
      <c r="AS4" s="426"/>
      <c r="AT4" s="426"/>
      <c r="AU4" s="426"/>
      <c r="AV4" s="426"/>
      <c r="AW4" s="426"/>
      <c r="AX4" s="426"/>
      <c r="AY4" s="426"/>
      <c r="AZ4" s="426"/>
      <c r="BA4" s="426"/>
      <c r="BB4" s="426"/>
      <c r="BC4" s="426"/>
      <c r="BD4" s="426"/>
      <c r="BE4" s="426"/>
      <c r="BF4" s="426"/>
      <c r="BG4" s="426"/>
      <c r="BH4" s="421"/>
      <c r="BI4" s="832" t="s">
        <v>539</v>
      </c>
      <c r="BJ4" s="833"/>
      <c r="BK4" s="833"/>
      <c r="BL4" s="834"/>
      <c r="BM4" s="854" t="s">
        <v>619</v>
      </c>
      <c r="BN4" s="855"/>
      <c r="BO4" s="855"/>
      <c r="BP4" s="856"/>
      <c r="BQ4" s="813" t="s">
        <v>619</v>
      </c>
      <c r="BR4" s="814"/>
      <c r="BS4" s="814"/>
      <c r="BT4" s="815"/>
      <c r="BU4" s="667" t="s">
        <v>62</v>
      </c>
      <c r="BV4" s="843" t="s">
        <v>403</v>
      </c>
      <c r="BW4" s="621" t="s">
        <v>662</v>
      </c>
      <c r="BX4" s="622"/>
      <c r="BY4" s="622"/>
      <c r="BZ4" s="622"/>
      <c r="CA4" s="622"/>
      <c r="CB4" s="622"/>
      <c r="CC4" s="622"/>
      <c r="CD4" s="622"/>
      <c r="CE4" s="622"/>
      <c r="CF4" s="622"/>
      <c r="CG4" s="622"/>
      <c r="CH4" s="623"/>
      <c r="CI4" s="669" t="s">
        <v>393</v>
      </c>
      <c r="CJ4" s="670"/>
      <c r="CK4" s="673" t="s">
        <v>395</v>
      </c>
      <c r="CL4" s="670"/>
      <c r="CM4" s="641" t="s">
        <v>618</v>
      </c>
      <c r="CN4" s="642"/>
      <c r="CO4" s="642"/>
      <c r="CP4" s="642"/>
      <c r="CQ4" s="642"/>
      <c r="CR4" s="642"/>
      <c r="CS4" s="642"/>
      <c r="CT4" s="642"/>
      <c r="CU4" s="642"/>
      <c r="CV4" s="642"/>
      <c r="CW4" s="642"/>
      <c r="CX4" s="642"/>
      <c r="CY4" s="683" t="s">
        <v>518</v>
      </c>
      <c r="CZ4" s="615" t="s">
        <v>289</v>
      </c>
      <c r="DA4" s="615" t="s">
        <v>324</v>
      </c>
      <c r="DB4" s="615" t="s">
        <v>438</v>
      </c>
      <c r="DC4" s="615" t="s">
        <v>519</v>
      </c>
      <c r="DD4" s="685" t="s">
        <v>63</v>
      </c>
      <c r="DE4" s="685" t="s">
        <v>64</v>
      </c>
      <c r="DF4" s="691" t="s">
        <v>520</v>
      </c>
      <c r="DG4" s="692"/>
      <c r="DH4" s="692"/>
      <c r="DI4" s="693"/>
      <c r="DJ4" s="696" t="s">
        <v>521</v>
      </c>
      <c r="DK4" s="697"/>
      <c r="DL4" s="697"/>
      <c r="DM4" s="697"/>
      <c r="DN4" s="698"/>
      <c r="DO4" s="694" t="s">
        <v>833</v>
      </c>
      <c r="DP4" s="694" t="s">
        <v>831</v>
      </c>
      <c r="DQ4" s="598" t="s">
        <v>846</v>
      </c>
      <c r="DR4" s="674" t="s">
        <v>522</v>
      </c>
      <c r="DS4" s="677" t="s">
        <v>238</v>
      </c>
      <c r="DT4" s="678"/>
      <c r="DU4" s="7"/>
      <c r="DV4" s="7"/>
      <c r="DW4" s="7"/>
      <c r="DX4" s="7"/>
      <c r="DY4" s="7"/>
      <c r="DZ4" s="7"/>
      <c r="EA4" s="7"/>
      <c r="EB4" s="7"/>
    </row>
    <row r="5" spans="1:132" s="2" customFormat="1" ht="42" customHeight="1" thickBot="1" x14ac:dyDescent="0.25">
      <c r="A5" s="769"/>
      <c r="B5" s="704"/>
      <c r="C5" s="711"/>
      <c r="D5" s="396"/>
      <c r="E5" s="707"/>
      <c r="F5" s="707"/>
      <c r="G5" s="735"/>
      <c r="H5" s="764"/>
      <c r="I5" s="711"/>
      <c r="J5" s="711"/>
      <c r="K5" s="599"/>
      <c r="L5" s="720"/>
      <c r="M5" s="375" t="s">
        <v>4</v>
      </c>
      <c r="N5" s="315" t="s">
        <v>571</v>
      </c>
      <c r="O5" s="399" t="s">
        <v>207</v>
      </c>
      <c r="P5" s="729"/>
      <c r="Q5" s="724"/>
      <c r="R5" s="725"/>
      <c r="S5" s="857" t="s">
        <v>12</v>
      </c>
      <c r="T5" s="804"/>
      <c r="U5" s="804" t="s">
        <v>659</v>
      </c>
      <c r="V5" s="805"/>
      <c r="W5" s="869"/>
      <c r="X5" s="863"/>
      <c r="Y5" s="826" t="s">
        <v>509</v>
      </c>
      <c r="Z5" s="827"/>
      <c r="AA5" s="865" t="s">
        <v>510</v>
      </c>
      <c r="AB5" s="866"/>
      <c r="AC5" s="415"/>
      <c r="AD5" s="827" t="s">
        <v>525</v>
      </c>
      <c r="AE5" s="827"/>
      <c r="AF5" s="860" t="s">
        <v>660</v>
      </c>
      <c r="AG5" s="861"/>
      <c r="AH5" s="858" t="s">
        <v>475</v>
      </c>
      <c r="AI5" s="858"/>
      <c r="AJ5" s="859"/>
      <c r="AK5" s="785" t="s">
        <v>476</v>
      </c>
      <c r="AL5" s="785"/>
      <c r="AM5" s="785"/>
      <c r="AN5" s="786"/>
      <c r="AO5" s="781" t="s">
        <v>346</v>
      </c>
      <c r="AP5" s="414" t="s">
        <v>472</v>
      </c>
      <c r="AQ5" s="414"/>
      <c r="AR5" s="419"/>
      <c r="AS5" s="837" t="s">
        <v>474</v>
      </c>
      <c r="AT5" s="837"/>
      <c r="AU5" s="838"/>
      <c r="AV5" s="785" t="s">
        <v>473</v>
      </c>
      <c r="AW5" s="785"/>
      <c r="AX5" s="785"/>
      <c r="AY5" s="787"/>
      <c r="AZ5" s="830" t="s">
        <v>66</v>
      </c>
      <c r="BA5" s="830"/>
      <c r="BB5" s="831"/>
      <c r="BC5" s="846" t="s">
        <v>67</v>
      </c>
      <c r="BD5" s="846"/>
      <c r="BE5" s="847"/>
      <c r="BF5" s="846" t="s">
        <v>68</v>
      </c>
      <c r="BG5" s="846"/>
      <c r="BH5" s="867"/>
      <c r="BI5" s="793" t="s">
        <v>368</v>
      </c>
      <c r="BJ5" s="793" t="s">
        <v>397</v>
      </c>
      <c r="BK5" s="835" t="s">
        <v>398</v>
      </c>
      <c r="BL5" s="793" t="s">
        <v>65</v>
      </c>
      <c r="BM5" s="788" t="s">
        <v>399</v>
      </c>
      <c r="BN5" s="790" t="s">
        <v>400</v>
      </c>
      <c r="BO5" s="788" t="s">
        <v>401</v>
      </c>
      <c r="BP5" s="792" t="s">
        <v>661</v>
      </c>
      <c r="BQ5" s="816" t="s">
        <v>399</v>
      </c>
      <c r="BR5" s="818" t="s">
        <v>400</v>
      </c>
      <c r="BS5" s="820" t="s">
        <v>401</v>
      </c>
      <c r="BT5" s="822" t="s">
        <v>402</v>
      </c>
      <c r="BU5" s="668"/>
      <c r="BV5" s="844"/>
      <c r="BW5" s="618" t="s">
        <v>393</v>
      </c>
      <c r="BX5" s="619"/>
      <c r="BY5" s="620"/>
      <c r="BZ5" s="618" t="s">
        <v>394</v>
      </c>
      <c r="CA5" s="619"/>
      <c r="CB5" s="620"/>
      <c r="CC5" s="618" t="s">
        <v>395</v>
      </c>
      <c r="CD5" s="619"/>
      <c r="CE5" s="620"/>
      <c r="CF5" s="618" t="s">
        <v>396</v>
      </c>
      <c r="CG5" s="619"/>
      <c r="CH5" s="620"/>
      <c r="CI5" s="671"/>
      <c r="CJ5" s="672"/>
      <c r="CK5" s="671"/>
      <c r="CL5" s="672"/>
      <c r="CM5" s="624" t="s">
        <v>393</v>
      </c>
      <c r="CN5" s="625"/>
      <c r="CO5" s="626"/>
      <c r="CP5" s="624" t="s">
        <v>394</v>
      </c>
      <c r="CQ5" s="625"/>
      <c r="CR5" s="848"/>
      <c r="CS5" s="624" t="s">
        <v>395</v>
      </c>
      <c r="CT5" s="625"/>
      <c r="CU5" s="626"/>
      <c r="CV5" s="639" t="s">
        <v>396</v>
      </c>
      <c r="CW5" s="640"/>
      <c r="CX5" s="640"/>
      <c r="CY5" s="684"/>
      <c r="CZ5" s="616"/>
      <c r="DA5" s="616"/>
      <c r="DB5" s="616"/>
      <c r="DC5" s="616"/>
      <c r="DD5" s="686"/>
      <c r="DE5" s="686"/>
      <c r="DF5" s="612" t="s">
        <v>232</v>
      </c>
      <c r="DG5" s="614" t="s">
        <v>276</v>
      </c>
      <c r="DH5" s="614" t="s">
        <v>275</v>
      </c>
      <c r="DI5" s="614" t="s">
        <v>233</v>
      </c>
      <c r="DJ5" s="689" t="s">
        <v>353</v>
      </c>
      <c r="DK5" s="689" t="s">
        <v>404</v>
      </c>
      <c r="DL5" s="689" t="s">
        <v>354</v>
      </c>
      <c r="DM5" s="689" t="s">
        <v>355</v>
      </c>
      <c r="DN5" s="699" t="s">
        <v>357</v>
      </c>
      <c r="DO5" s="695"/>
      <c r="DP5" s="695"/>
      <c r="DQ5" s="599"/>
      <c r="DR5" s="675"/>
      <c r="DS5" s="679" t="s">
        <v>69</v>
      </c>
      <c r="DT5" s="681" t="s">
        <v>70</v>
      </c>
      <c r="DU5" s="7"/>
      <c r="DV5" s="7"/>
      <c r="DW5" s="7"/>
      <c r="DX5" s="7"/>
      <c r="DY5" s="7"/>
      <c r="DZ5" s="7"/>
      <c r="EA5" s="7"/>
      <c r="EB5" s="7"/>
    </row>
    <row r="6" spans="1:132" s="2" customFormat="1" ht="77.25" customHeight="1" thickTop="1" thickBot="1" x14ac:dyDescent="0.25">
      <c r="A6" s="770"/>
      <c r="B6" s="705"/>
      <c r="C6" s="712"/>
      <c r="D6" s="397" t="s">
        <v>551</v>
      </c>
      <c r="E6" s="708"/>
      <c r="F6" s="708"/>
      <c r="G6" s="736"/>
      <c r="H6" s="765"/>
      <c r="I6" s="712"/>
      <c r="J6" s="712"/>
      <c r="K6" s="600"/>
      <c r="L6" s="721"/>
      <c r="M6" s="376" t="s">
        <v>503</v>
      </c>
      <c r="N6" s="274" t="s">
        <v>343</v>
      </c>
      <c r="O6" s="400" t="s">
        <v>655</v>
      </c>
      <c r="P6" s="730"/>
      <c r="Q6" s="402" t="s">
        <v>405</v>
      </c>
      <c r="R6" s="402" t="s">
        <v>658</v>
      </c>
      <c r="S6" s="410" t="s">
        <v>6</v>
      </c>
      <c r="T6" s="410" t="s">
        <v>7</v>
      </c>
      <c r="U6" s="410" t="s">
        <v>6</v>
      </c>
      <c r="V6" s="410" t="s">
        <v>7</v>
      </c>
      <c r="W6" s="870"/>
      <c r="X6" s="864"/>
      <c r="Y6" s="273" t="s">
        <v>6</v>
      </c>
      <c r="Z6" s="381" t="s">
        <v>7</v>
      </c>
      <c r="AA6" s="403" t="s">
        <v>6</v>
      </c>
      <c r="AB6" s="420" t="s">
        <v>7</v>
      </c>
      <c r="AC6" s="420" t="s">
        <v>8</v>
      </c>
      <c r="AD6" s="377" t="s">
        <v>6</v>
      </c>
      <c r="AE6" s="381" t="s">
        <v>7</v>
      </c>
      <c r="AF6" s="402" t="s">
        <v>6</v>
      </c>
      <c r="AG6" s="402" t="s">
        <v>7</v>
      </c>
      <c r="AH6" s="382" t="s">
        <v>6</v>
      </c>
      <c r="AI6" s="144" t="s">
        <v>7</v>
      </c>
      <c r="AJ6" s="383" t="s">
        <v>8</v>
      </c>
      <c r="AK6" s="384" t="s">
        <v>6</v>
      </c>
      <c r="AL6" s="385" t="s">
        <v>7</v>
      </c>
      <c r="AM6" s="404" t="s">
        <v>8</v>
      </c>
      <c r="AN6" s="386" t="s">
        <v>279</v>
      </c>
      <c r="AO6" s="781"/>
      <c r="AP6" s="387" t="s">
        <v>6</v>
      </c>
      <c r="AQ6" s="387" t="s">
        <v>7</v>
      </c>
      <c r="AR6" s="405" t="s">
        <v>8</v>
      </c>
      <c r="AS6" s="382" t="s">
        <v>6</v>
      </c>
      <c r="AT6" s="144" t="s">
        <v>7</v>
      </c>
      <c r="AU6" s="383" t="s">
        <v>8</v>
      </c>
      <c r="AV6" s="388" t="s">
        <v>6</v>
      </c>
      <c r="AW6" s="406" t="s">
        <v>7</v>
      </c>
      <c r="AX6" s="404" t="s">
        <v>8</v>
      </c>
      <c r="AY6" s="386" t="s">
        <v>279</v>
      </c>
      <c r="AZ6" s="407" t="s">
        <v>71</v>
      </c>
      <c r="BA6" s="407" t="s">
        <v>72</v>
      </c>
      <c r="BB6" s="389" t="s">
        <v>237</v>
      </c>
      <c r="BC6" s="144" t="s">
        <v>6</v>
      </c>
      <c r="BD6" s="383" t="s">
        <v>7</v>
      </c>
      <c r="BE6" s="404" t="s">
        <v>8</v>
      </c>
      <c r="BF6" s="382" t="s">
        <v>6</v>
      </c>
      <c r="BG6" s="383" t="s">
        <v>7</v>
      </c>
      <c r="BH6" s="408" t="s">
        <v>8</v>
      </c>
      <c r="BI6" s="794"/>
      <c r="BJ6" s="794"/>
      <c r="BK6" s="836"/>
      <c r="BL6" s="794"/>
      <c r="BM6" s="789"/>
      <c r="BN6" s="791"/>
      <c r="BO6" s="789"/>
      <c r="BP6" s="791"/>
      <c r="BQ6" s="817"/>
      <c r="BR6" s="819"/>
      <c r="BS6" s="821"/>
      <c r="BT6" s="823"/>
      <c r="BU6" s="668"/>
      <c r="BV6" s="845"/>
      <c r="BW6" s="90" t="s">
        <v>73</v>
      </c>
      <c r="BX6" s="90" t="s">
        <v>569</v>
      </c>
      <c r="BY6" s="90" t="s">
        <v>538</v>
      </c>
      <c r="BZ6" s="90" t="s">
        <v>73</v>
      </c>
      <c r="CA6" s="90" t="s">
        <v>569</v>
      </c>
      <c r="CB6" s="362" t="s">
        <v>538</v>
      </c>
      <c r="CC6" s="90" t="s">
        <v>73</v>
      </c>
      <c r="CD6" s="90" t="s">
        <v>569</v>
      </c>
      <c r="CE6" s="90" t="s">
        <v>538</v>
      </c>
      <c r="CF6" s="90" t="s">
        <v>73</v>
      </c>
      <c r="CG6" s="90" t="s">
        <v>569</v>
      </c>
      <c r="CH6" s="90" t="s">
        <v>538</v>
      </c>
      <c r="CI6" s="91" t="s">
        <v>74</v>
      </c>
      <c r="CJ6" s="91" t="s">
        <v>75</v>
      </c>
      <c r="CK6" s="91" t="s">
        <v>74</v>
      </c>
      <c r="CL6" s="91" t="s">
        <v>75</v>
      </c>
      <c r="CM6" s="345" t="s">
        <v>73</v>
      </c>
      <c r="CN6" s="345" t="s">
        <v>569</v>
      </c>
      <c r="CO6" s="345" t="s">
        <v>538</v>
      </c>
      <c r="CP6" s="345" t="s">
        <v>73</v>
      </c>
      <c r="CQ6" s="372" t="s">
        <v>569</v>
      </c>
      <c r="CR6" s="409" t="s">
        <v>538</v>
      </c>
      <c r="CS6" s="373" t="s">
        <v>73</v>
      </c>
      <c r="CT6" s="345" t="s">
        <v>569</v>
      </c>
      <c r="CU6" s="345" t="s">
        <v>538</v>
      </c>
      <c r="CV6" s="345" t="s">
        <v>73</v>
      </c>
      <c r="CW6" s="345" t="s">
        <v>569</v>
      </c>
      <c r="CX6" s="345" t="s">
        <v>538</v>
      </c>
      <c r="CY6" s="417" t="s">
        <v>304</v>
      </c>
      <c r="CZ6" s="617"/>
      <c r="DA6" s="617"/>
      <c r="DB6" s="617"/>
      <c r="DC6" s="617"/>
      <c r="DD6" s="687"/>
      <c r="DE6" s="687"/>
      <c r="DF6" s="613"/>
      <c r="DG6" s="613"/>
      <c r="DH6" s="613"/>
      <c r="DI6" s="613"/>
      <c r="DJ6" s="690"/>
      <c r="DK6" s="690"/>
      <c r="DL6" s="690"/>
      <c r="DM6" s="690"/>
      <c r="DN6" s="690"/>
      <c r="DO6" s="524" t="s">
        <v>840</v>
      </c>
      <c r="DP6" s="523" t="s">
        <v>832</v>
      </c>
      <c r="DQ6" s="600"/>
      <c r="DR6" s="676"/>
      <c r="DS6" s="680"/>
      <c r="DT6" s="682"/>
      <c r="DU6" s="7"/>
      <c r="DV6" s="7"/>
      <c r="DW6" s="7"/>
      <c r="DX6" s="7"/>
      <c r="DY6" s="7"/>
      <c r="DZ6" s="7"/>
      <c r="EA6" s="7"/>
      <c r="EB6" s="7"/>
    </row>
    <row r="7" spans="1:132" ht="363.75" customHeight="1" thickTop="1" x14ac:dyDescent="0.2">
      <c r="A7" s="771" t="s">
        <v>16</v>
      </c>
      <c r="B7" s="374" t="s">
        <v>17</v>
      </c>
      <c r="C7" s="85"/>
      <c r="D7" s="371">
        <v>101</v>
      </c>
      <c r="E7" s="367" t="s">
        <v>795</v>
      </c>
      <c r="F7" s="368" t="s">
        <v>479</v>
      </c>
      <c r="G7" s="392" t="s">
        <v>76</v>
      </c>
      <c r="H7" s="394" t="s">
        <v>477</v>
      </c>
      <c r="I7" s="370" t="s">
        <v>785</v>
      </c>
      <c r="J7" s="367" t="s">
        <v>641</v>
      </c>
      <c r="K7" s="398" t="s">
        <v>576</v>
      </c>
      <c r="L7" s="368" t="s">
        <v>9</v>
      </c>
      <c r="M7" s="306">
        <f>N7*15000</f>
        <v>15000</v>
      </c>
      <c r="N7" s="301">
        <v>1</v>
      </c>
      <c r="O7" s="11" t="s">
        <v>77</v>
      </c>
      <c r="P7" s="401">
        <f>M7/$P$2</f>
        <v>93.75</v>
      </c>
      <c r="Q7" s="586">
        <v>26.25</v>
      </c>
      <c r="R7" s="378">
        <f>$R$107</f>
        <v>6</v>
      </c>
      <c r="S7" s="587">
        <f>100*(1-40*(1-0.8)/$Q7)</f>
        <v>69.523809523809533</v>
      </c>
      <c r="T7" s="587">
        <f>100*(1-40*(1-0.95)/$Q7)</f>
        <v>92.38095238095238</v>
      </c>
      <c r="U7" s="366">
        <v>40</v>
      </c>
      <c r="V7" s="366">
        <v>60</v>
      </c>
      <c r="W7" s="380">
        <f t="shared" ref="W7:W25" si="0">($Q$53-($Q$53*(($T$53+$S$53)/2)/100)-(Q7-(Q7*((T7+S7)/2)/100)))/($Q$53-($Q$53*(($T$53+$S$53)/2)/100))</f>
        <v>0.80952380952380965</v>
      </c>
      <c r="X7" s="51" t="s">
        <v>376</v>
      </c>
      <c r="Y7" s="145">
        <f t="shared" ref="Y7:Y23" si="1">((($Q7)*($S7/100))*(8.34*($M7/1000000)))*365</f>
        <v>833.32237500000008</v>
      </c>
      <c r="Z7" s="145">
        <f t="shared" ref="Z7:Z23" si="2">((($Q7)*($T7/100))*(8.34*($M7/1000000)))*365</f>
        <v>1107.2913749999998</v>
      </c>
      <c r="AA7" s="508">
        <f>Y7*0.4536</f>
        <v>377.99502930000006</v>
      </c>
      <c r="AB7" s="508">
        <f>Z7*0.4536</f>
        <v>502.26736769999991</v>
      </c>
      <c r="AC7" s="508">
        <f>(AA7+AB7)/2</f>
        <v>440.13119849999998</v>
      </c>
      <c r="AD7" s="145">
        <f t="shared" ref="AD7:AD23" si="3">((($R7)*($U7/100))*(8.34*($M7/1000000)))*365</f>
        <v>109.58760000000001</v>
      </c>
      <c r="AE7" s="145">
        <f t="shared" ref="AE7:AE23" si="4">((($R7)*($V7/100))*(8.34*($M7/1000000)))*365</f>
        <v>164.38139999999999</v>
      </c>
      <c r="AF7" s="508">
        <f>AD7*0.4536</f>
        <v>49.708935360000005</v>
      </c>
      <c r="AG7" s="508">
        <f>AE7*0.4536</f>
        <v>74.563403039999997</v>
      </c>
      <c r="AH7" s="272"/>
      <c r="AI7" s="276"/>
      <c r="AJ7" s="111">
        <f>ROUND((-0.000006*M7^2+27.458*M7+14583),-3)</f>
        <v>425000</v>
      </c>
      <c r="AK7" s="365"/>
      <c r="AL7" s="365"/>
      <c r="AM7" s="365">
        <f t="shared" ref="AM7:AM20" si="5">AJ7*($AA$109/$AA$107)</f>
        <v>425000</v>
      </c>
      <c r="AN7" s="325">
        <v>0.85</v>
      </c>
      <c r="AO7" s="365">
        <v>0</v>
      </c>
      <c r="AP7" s="365"/>
      <c r="AQ7" s="365"/>
      <c r="AR7" s="364">
        <f>(AM7*(1+$AN$2))+AO7</f>
        <v>595000</v>
      </c>
      <c r="AS7" s="111"/>
      <c r="AT7" s="111"/>
      <c r="AU7" s="111">
        <f>ROUND((5.4804*M7^0.7616),-3)</f>
        <v>8000</v>
      </c>
      <c r="AV7" s="364"/>
      <c r="AW7" s="364"/>
      <c r="AX7" s="364">
        <f t="shared" ref="AX7:AX15" si="6">AU7*($AA$109/$AA$107)</f>
        <v>8000</v>
      </c>
      <c r="AY7" s="326">
        <v>0.75</v>
      </c>
      <c r="AZ7" s="363">
        <v>0.2</v>
      </c>
      <c r="BA7" s="363">
        <v>0</v>
      </c>
      <c r="BB7" s="327" t="s">
        <v>290</v>
      </c>
      <c r="BC7" s="76"/>
      <c r="BD7" s="76"/>
      <c r="BE7" s="364">
        <f>AR7*(1+$AZ7)</f>
        <v>714000</v>
      </c>
      <c r="BF7" s="76"/>
      <c r="BG7" s="76"/>
      <c r="BH7" s="364">
        <f t="shared" ref="BH7:BH83" si="7">AX7*(1+$BA7)</f>
        <v>8000</v>
      </c>
      <c r="BI7" s="366">
        <v>20</v>
      </c>
      <c r="BJ7" s="365">
        <v>178500</v>
      </c>
      <c r="BK7" s="76">
        <f t="shared" ref="BK7:BK50" si="8">IF(($CB$2/BI7)&gt;0,((($CB$2/BI7))*BJ7),0)</f>
        <v>178500</v>
      </c>
      <c r="BL7" s="365">
        <f>PV(((1+$BY$2)^BI7)-1,ROUNDUP($CB$2/BI7-1,0),-BJ7,0,0)</f>
        <v>0</v>
      </c>
      <c r="BM7" s="366">
        <f t="shared" ref="BM7:BM48" si="9">IF((($Y7+$Z7)&gt;0),((($Y7+$Z7)/2)*$CB$2),0)</f>
        <v>19406.137500000001</v>
      </c>
      <c r="BN7" s="366">
        <f>BM7*0.4536</f>
        <v>8802.6239700000006</v>
      </c>
      <c r="BO7" s="366">
        <f t="shared" ref="BO7:BO48" si="10">IF((($AD7+$AE7)&gt;0),((($AD7+$AE7)/2)*$CB$2),0)</f>
        <v>2739.69</v>
      </c>
      <c r="BP7" s="366">
        <f>BO7*0.4536</f>
        <v>1242.7233840000001</v>
      </c>
      <c r="BQ7" s="379">
        <f t="shared" ref="BQ7:BQ20" si="11">IF($Q7&lt;$W$122,BM7,(BM7-((BM7/$Q7)*($Q7-$W$122))))</f>
        <v>19406.137500000001</v>
      </c>
      <c r="BR7" s="379">
        <f t="shared" ref="BR7:BR20" si="12">IF($Q7&lt;$W$122,BN7,(BN7-((BN7/$Q7)*($Q7-$W$122))))</f>
        <v>8802.6239700000006</v>
      </c>
      <c r="BS7" s="379">
        <f t="shared" ref="BS7:BS20" si="13">IF($R7&lt;$X$122,BO7,(BO7-((BO7/$R7)*($R7-$X$122))))</f>
        <v>2739.69</v>
      </c>
      <c r="BT7" s="379">
        <f t="shared" ref="BT7:BT20" si="14">IF($R7&lt;$X$122,BP7,(BP7-((BP7/$R7)*($R7-$X$122))))</f>
        <v>1242.7233840000001</v>
      </c>
      <c r="BU7" s="76" t="str">
        <f t="shared" ref="BU7:BU48" si="15">IF((Y7+Z7+AD7+AE7=0),(BE7+PV($BY$2,$CB$2,-BH7,0,0)),"N/A")</f>
        <v>N/A</v>
      </c>
      <c r="BV7" s="111">
        <f t="shared" ref="BV7:BV44" si="16">((BE7/12.46)+BH7)/((AA7+AB7)/2)</f>
        <v>148.3725103084617</v>
      </c>
      <c r="BW7" s="88">
        <f t="shared" ref="BW7:BW61" si="17">IF($BM7&gt;0,(($BE7+$BL7)/$BM7),0)</f>
        <v>36.79248382116225</v>
      </c>
      <c r="BX7" s="89">
        <f t="shared" ref="BX7:BX61" si="18">IF($BM7&gt;0,((PV($BY$2,$CB$2,-$BH7))/$BM7),0)</f>
        <v>5.1374305031240697</v>
      </c>
      <c r="BY7" s="89">
        <f t="shared" ref="BY7:BY61" si="19">BW7+BX7</f>
        <v>41.929914324286322</v>
      </c>
      <c r="BZ7" s="89">
        <f t="shared" ref="BZ7:BZ61" si="20">IF($BN7&gt;0,(($BE7+$BL7)/$BN7),0)</f>
        <v>81.112177736248341</v>
      </c>
      <c r="CA7" s="89">
        <f t="shared" ref="CA7:CA61" si="21">IF($BN7&gt;0,((PV($BY$2,$CB$2,-$BH7))/$BN7),0)</f>
        <v>11.325904989250596</v>
      </c>
      <c r="CB7" s="89">
        <f t="shared" ref="CB7:CB61" si="22">BZ7+CA7</f>
        <v>92.43808272549893</v>
      </c>
      <c r="CC7" s="89">
        <f t="shared" ref="CC7:CC61" si="23">IF($BO7&gt;0,(($BE7+$BL7)/$BO7),0)</f>
        <v>260.61342706656592</v>
      </c>
      <c r="CD7" s="89">
        <f t="shared" ref="CD7:CD61" si="24">IF($BO7&gt;0,((PV($BY$2,$CB$2,-$BH7))/$BO7),0)</f>
        <v>36.390132730462163</v>
      </c>
      <c r="CE7" s="89">
        <f t="shared" ref="CE7:CE61" si="25">CC7+CD7</f>
        <v>297.00355979702806</v>
      </c>
      <c r="CF7" s="89">
        <f t="shared" ref="CF7:CF61" si="26">IF($BP7&gt;0,(($BE7+$BL7)/$BP7),0)</f>
        <v>574.54459229842575</v>
      </c>
      <c r="CG7" s="89">
        <f t="shared" ref="CG7:CG61" si="27">IF($BP7&gt;0,((PV($BY$2,$CB$2,-$BH7))/$BP7),0)</f>
        <v>80.225160340525036</v>
      </c>
      <c r="CH7" s="89">
        <f t="shared" ref="CH7:CH61" si="28">CF7+CG7</f>
        <v>654.76975263895076</v>
      </c>
      <c r="CI7" s="41">
        <f>IF(Z7&gt;0,((BC7+PV($BY$2,$CB$2,-BF7,0,0))/Z7),0)</f>
        <v>0</v>
      </c>
      <c r="CJ7" s="41">
        <f>IF(Y7&gt;0,((BD7+PV($BY$2,$CB$2,-BG7,0,0))/Y7),0)</f>
        <v>0</v>
      </c>
      <c r="CK7" s="41">
        <f>IF(AE7&gt;0,((BC7+PV($BY$2,$CB$2,-BF7,0,0))/AE7),0)</f>
        <v>0</v>
      </c>
      <c r="CL7" s="41">
        <f>IF(AD7&gt;0,((BD7+PV($BY$2,$CB$2,-BG7,0,0))/AD7),0)</f>
        <v>0</v>
      </c>
      <c r="CM7" s="346">
        <f t="shared" ref="CM7:CM61" si="29">IF($BQ7&gt;0,(($BE7+$BL7)/$BQ7),0)</f>
        <v>36.79248382116225</v>
      </c>
      <c r="CN7" s="204">
        <f t="shared" ref="CN7:CN61" si="30">IF($BQ7&gt;0,((PV($BY$2,$CB$2,-$BH7))/$BQ7),0)</f>
        <v>5.1374305031240697</v>
      </c>
      <c r="CO7" s="204">
        <f>CM7+CN7</f>
        <v>41.929914324286322</v>
      </c>
      <c r="CP7" s="204">
        <f t="shared" ref="CP7:CP61" si="31">IF($BR7&gt;0,(($BE7+$BL7)/$BR7),0)</f>
        <v>81.112177736248341</v>
      </c>
      <c r="CQ7" s="204">
        <f t="shared" ref="CQ7:CQ61" si="32">IF($BR7&gt;0,((PV($BY$2,$CB$2,-$BH7))/$BR7),0)</f>
        <v>11.325904989250596</v>
      </c>
      <c r="CR7" s="390">
        <f>CP7+CQ7</f>
        <v>92.43808272549893</v>
      </c>
      <c r="CS7" s="204">
        <f t="shared" ref="CS7:CS61" si="33">IF($BS7&gt;0,(($BE7+$BL7)/$BS7),0)</f>
        <v>260.61342706656592</v>
      </c>
      <c r="CT7" s="204">
        <f t="shared" ref="CT7:CT61" si="34">IF($BS7&gt;0,((PV($BY$2,$CB$2,-$BH7))/$BS7),0)</f>
        <v>36.390132730462163</v>
      </c>
      <c r="CU7" s="204">
        <f>CS7+CT7</f>
        <v>297.00355979702806</v>
      </c>
      <c r="CV7" s="204">
        <f t="shared" ref="CV7:CV61" si="35">IF($BT7&gt;0,(($BE7+$BL7)/$BT7),0)</f>
        <v>574.54459229842575</v>
      </c>
      <c r="CW7" s="204">
        <f t="shared" ref="CW7:CW61" si="36">IF($BT7&gt;0,((PV($BY$2,$CB$2,-$BH7))/$BT7),0)</f>
        <v>80.225160340525036</v>
      </c>
      <c r="CX7" s="204">
        <f>CV7+CW7</f>
        <v>654.76975263895076</v>
      </c>
      <c r="CY7" s="286" t="s">
        <v>307</v>
      </c>
      <c r="CZ7" s="418" t="s">
        <v>56</v>
      </c>
      <c r="DA7" s="418" t="s">
        <v>57</v>
      </c>
      <c r="DB7" s="369" t="s">
        <v>331</v>
      </c>
      <c r="DC7" s="393" t="s">
        <v>57</v>
      </c>
      <c r="DD7" s="367" t="s">
        <v>242</v>
      </c>
      <c r="DE7" s="367" t="s">
        <v>243</v>
      </c>
      <c r="DF7" s="369" t="s">
        <v>56</v>
      </c>
      <c r="DG7" s="369" t="s">
        <v>56</v>
      </c>
      <c r="DH7" s="369" t="s">
        <v>56</v>
      </c>
      <c r="DI7" s="369" t="s">
        <v>56</v>
      </c>
      <c r="DJ7" s="367" t="s">
        <v>364</v>
      </c>
      <c r="DK7" s="368" t="s">
        <v>358</v>
      </c>
      <c r="DL7" s="367" t="s">
        <v>350</v>
      </c>
      <c r="DM7" s="367" t="s">
        <v>364</v>
      </c>
      <c r="DN7" s="368" t="s">
        <v>481</v>
      </c>
      <c r="DO7" s="518" t="s">
        <v>834</v>
      </c>
      <c r="DP7" s="518"/>
      <c r="DQ7" s="526" t="s">
        <v>847</v>
      </c>
      <c r="DR7" s="530" t="s">
        <v>848</v>
      </c>
      <c r="DS7" s="367" t="s">
        <v>239</v>
      </c>
      <c r="DT7" s="391"/>
      <c r="DU7" s="28"/>
      <c r="DV7" s="28"/>
      <c r="DW7" s="28"/>
      <c r="DX7" s="28"/>
      <c r="DY7" s="28"/>
      <c r="DZ7" s="28"/>
      <c r="EA7" s="28"/>
      <c r="EB7" s="28"/>
    </row>
    <row r="8" spans="1:132" ht="277.5" customHeight="1" x14ac:dyDescent="0.2">
      <c r="A8" s="771"/>
      <c r="B8" s="10" t="s">
        <v>432</v>
      </c>
      <c r="C8" s="84"/>
      <c r="D8" s="235">
        <v>102</v>
      </c>
      <c r="E8" s="271" t="s">
        <v>796</v>
      </c>
      <c r="F8" s="272" t="s">
        <v>479</v>
      </c>
      <c r="G8" s="272" t="s">
        <v>76</v>
      </c>
      <c r="H8" s="276" t="s">
        <v>478</v>
      </c>
      <c r="I8" s="275" t="s">
        <v>785</v>
      </c>
      <c r="J8" s="271" t="s">
        <v>642</v>
      </c>
      <c r="K8" s="259" t="s">
        <v>577</v>
      </c>
      <c r="L8" s="272" t="s">
        <v>9</v>
      </c>
      <c r="M8" s="306">
        <f>N8*16500</f>
        <v>16500</v>
      </c>
      <c r="N8" s="301">
        <v>1</v>
      </c>
      <c r="O8" s="11" t="s">
        <v>77</v>
      </c>
      <c r="P8" s="303">
        <f>M8/$P$2</f>
        <v>103.125</v>
      </c>
      <c r="Q8" s="586">
        <v>26.25</v>
      </c>
      <c r="R8" s="266">
        <f>$R$107</f>
        <v>6</v>
      </c>
      <c r="S8" s="587">
        <f>100*(1-40*(1-0.8)/$Q8)</f>
        <v>69.523809523809533</v>
      </c>
      <c r="T8" s="587">
        <f>100*(1-40*(1-0.95)/$Q8)</f>
        <v>92.38095238095238</v>
      </c>
      <c r="U8" s="4">
        <v>50</v>
      </c>
      <c r="V8" s="4">
        <v>90</v>
      </c>
      <c r="W8" s="189">
        <f t="shared" si="0"/>
        <v>0.80952380952380965</v>
      </c>
      <c r="X8" s="51" t="s">
        <v>376</v>
      </c>
      <c r="Y8" s="145">
        <f t="shared" si="1"/>
        <v>916.65461250000033</v>
      </c>
      <c r="Z8" s="145">
        <f t="shared" si="2"/>
        <v>1218.0205125000002</v>
      </c>
      <c r="AA8" s="145">
        <f t="shared" ref="AA8:AB50" si="37">Y8*0.4536</f>
        <v>415.79453223000013</v>
      </c>
      <c r="AB8" s="145">
        <f t="shared" ref="AB8:AB21" si="38">Z8*0.4536</f>
        <v>552.49410447000014</v>
      </c>
      <c r="AC8" s="145">
        <f t="shared" ref="AC8:AC21" si="39">(AA8+AB8)/2</f>
        <v>484.14431835000016</v>
      </c>
      <c r="AD8" s="145">
        <f t="shared" si="3"/>
        <v>150.68295000000001</v>
      </c>
      <c r="AE8" s="145">
        <f t="shared" si="4"/>
        <v>271.22931000000005</v>
      </c>
      <c r="AF8" s="145">
        <f t="shared" ref="AF8:AF23" si="40">AD8*0.4536</f>
        <v>68.349786120000005</v>
      </c>
      <c r="AG8" s="145">
        <f t="shared" ref="AG8:AG23" si="41">AE8*0.4536</f>
        <v>123.02961501600002</v>
      </c>
      <c r="AH8" s="272"/>
      <c r="AI8" s="272"/>
      <c r="AJ8" s="111">
        <f>ROUND((-0.000006*M8^2+26.364*M8+16667),-3)</f>
        <v>450000</v>
      </c>
      <c r="AK8" s="76"/>
      <c r="AL8" s="76"/>
      <c r="AM8" s="76">
        <f t="shared" si="5"/>
        <v>450000</v>
      </c>
      <c r="AN8" s="104">
        <v>0.85</v>
      </c>
      <c r="AO8" s="76">
        <v>0</v>
      </c>
      <c r="AP8" s="76"/>
      <c r="AQ8" s="76"/>
      <c r="AR8" s="76">
        <f>(AM8*(1+$AN$2))+AO8</f>
        <v>630000</v>
      </c>
      <c r="AS8" s="76"/>
      <c r="AT8" s="76"/>
      <c r="AU8" s="111">
        <f>ROUND((6.2613*M8^0.747),-3)</f>
        <v>9000</v>
      </c>
      <c r="AV8" s="76"/>
      <c r="AW8" s="76"/>
      <c r="AX8" s="76">
        <f t="shared" si="6"/>
        <v>9000</v>
      </c>
      <c r="AY8" s="326">
        <v>0.75</v>
      </c>
      <c r="AZ8" s="51">
        <v>0.2</v>
      </c>
      <c r="BA8" s="51">
        <v>0</v>
      </c>
      <c r="BB8" s="327" t="s">
        <v>290</v>
      </c>
      <c r="BC8" s="76"/>
      <c r="BD8" s="76"/>
      <c r="BE8" s="76">
        <f t="shared" ref="BE8:BE84" si="42">AR8*(1+$AZ8)</f>
        <v>756000</v>
      </c>
      <c r="BF8" s="76"/>
      <c r="BG8" s="76"/>
      <c r="BH8" s="76">
        <f t="shared" si="7"/>
        <v>9000</v>
      </c>
      <c r="BI8" s="4">
        <v>20</v>
      </c>
      <c r="BJ8" s="76">
        <f>BE8*0.25</f>
        <v>189000</v>
      </c>
      <c r="BK8" s="76">
        <f t="shared" si="8"/>
        <v>189000</v>
      </c>
      <c r="BL8" s="111">
        <f t="shared" ref="BL8:BL55" si="43">PV(((1+$BY$2)^BI8)-1,ROUNDUP($CB$2/BI8-1,0),-BJ8,0,0)</f>
        <v>0</v>
      </c>
      <c r="BM8" s="4">
        <f t="shared" si="9"/>
        <v>21346.751250000008</v>
      </c>
      <c r="BN8" s="4">
        <f>BM8*0.4536</f>
        <v>9682.8863670000046</v>
      </c>
      <c r="BO8" s="4">
        <f t="shared" si="10"/>
        <v>4219.1226000000006</v>
      </c>
      <c r="BP8" s="4">
        <f>BO8*0.4536</f>
        <v>1913.7940113600002</v>
      </c>
      <c r="BQ8" s="324">
        <f t="shared" si="11"/>
        <v>21346.751250000008</v>
      </c>
      <c r="BR8" s="324">
        <f t="shared" si="12"/>
        <v>9682.8863670000046</v>
      </c>
      <c r="BS8" s="324">
        <f t="shared" si="13"/>
        <v>4219.1226000000006</v>
      </c>
      <c r="BT8" s="324">
        <f t="shared" si="14"/>
        <v>1913.7940113600002</v>
      </c>
      <c r="BU8" s="76" t="str">
        <f t="shared" si="15"/>
        <v>N/A</v>
      </c>
      <c r="BV8" s="111">
        <f t="shared" si="16"/>
        <v>143.91195902251934</v>
      </c>
      <c r="BW8" s="88">
        <f t="shared" si="17"/>
        <v>35.415225068498408</v>
      </c>
      <c r="BX8" s="89">
        <f t="shared" si="18"/>
        <v>5.2541902872859794</v>
      </c>
      <c r="BY8" s="89">
        <f t="shared" si="19"/>
        <v>40.669415355784388</v>
      </c>
      <c r="BZ8" s="89">
        <f t="shared" si="20"/>
        <v>78.075893008153443</v>
      </c>
      <c r="CA8" s="89">
        <f t="shared" si="21"/>
        <v>11.583311920824469</v>
      </c>
      <c r="CB8" s="89">
        <f t="shared" si="22"/>
        <v>89.659204928977914</v>
      </c>
      <c r="CC8" s="89">
        <f t="shared" si="23"/>
        <v>179.18417445371222</v>
      </c>
      <c r="CD8" s="89">
        <f t="shared" si="24"/>
        <v>26.583700858292165</v>
      </c>
      <c r="CE8" s="89">
        <f t="shared" si="25"/>
        <v>205.76787531200438</v>
      </c>
      <c r="CF8" s="89">
        <f t="shared" si="26"/>
        <v>395.02683962458605</v>
      </c>
      <c r="CG8" s="89">
        <f t="shared" si="27"/>
        <v>58.606042456552387</v>
      </c>
      <c r="CH8" s="89">
        <f t="shared" si="28"/>
        <v>453.6328820811384</v>
      </c>
      <c r="CI8" s="41">
        <f>IF(Z8&gt;0,((BC8+PV($BY$2,$CB$2,-BF8,0,0))/Z8),0)</f>
        <v>0</v>
      </c>
      <c r="CJ8" s="41">
        <f>IF(Y8&gt;0,((BD8+PV($BY$2,$CB$2,-BG8,0,0))/Y8),0)</f>
        <v>0</v>
      </c>
      <c r="CK8" s="41">
        <f>IF(AE8&gt;0,((BC8+PV($BY$2,$CB$2,-BF8,0,0))/AE8),0)</f>
        <v>0</v>
      </c>
      <c r="CL8" s="41">
        <f>IF(AD8&gt;0,((BD8+PV($BY$2,$CB$2,-BG8,0,0))/AD8),0)</f>
        <v>0</v>
      </c>
      <c r="CM8" s="346">
        <f t="shared" si="29"/>
        <v>35.415225068498408</v>
      </c>
      <c r="CN8" s="204">
        <f t="shared" si="30"/>
        <v>5.2541902872859794</v>
      </c>
      <c r="CO8" s="204">
        <f t="shared" ref="CO8:CO61" si="44">CM8+CN8</f>
        <v>40.669415355784388</v>
      </c>
      <c r="CP8" s="204">
        <f t="shared" si="31"/>
        <v>78.075893008153443</v>
      </c>
      <c r="CQ8" s="204">
        <f t="shared" si="32"/>
        <v>11.583311920824469</v>
      </c>
      <c r="CR8" s="204">
        <f t="shared" ref="CR8:CR61" si="45">CP8+CQ8</f>
        <v>89.659204928977914</v>
      </c>
      <c r="CS8" s="204">
        <f t="shared" si="33"/>
        <v>179.18417445371222</v>
      </c>
      <c r="CT8" s="204">
        <f t="shared" si="34"/>
        <v>26.583700858292165</v>
      </c>
      <c r="CU8" s="204">
        <f t="shared" ref="CU8:CU61" si="46">CS8+CT8</f>
        <v>205.76787531200438</v>
      </c>
      <c r="CV8" s="204">
        <f t="shared" si="35"/>
        <v>395.02683962458605</v>
      </c>
      <c r="CW8" s="204">
        <f t="shared" si="36"/>
        <v>58.606042456552387</v>
      </c>
      <c r="CX8" s="204">
        <f t="shared" ref="CX8:CX61" si="47">CV8+CW8</f>
        <v>453.6328820811384</v>
      </c>
      <c r="CY8" s="286" t="s">
        <v>307</v>
      </c>
      <c r="CZ8" s="285" t="s">
        <v>56</v>
      </c>
      <c r="DA8" s="285" t="s">
        <v>57</v>
      </c>
      <c r="DB8" s="285" t="s">
        <v>331</v>
      </c>
      <c r="DC8" s="285" t="s">
        <v>57</v>
      </c>
      <c r="DD8" s="275" t="s">
        <v>370</v>
      </c>
      <c r="DE8" s="275" t="s">
        <v>244</v>
      </c>
      <c r="DF8" s="285" t="s">
        <v>56</v>
      </c>
      <c r="DG8" s="285" t="s">
        <v>56</v>
      </c>
      <c r="DH8" s="285" t="s">
        <v>56</v>
      </c>
      <c r="DI8" s="285" t="s">
        <v>56</v>
      </c>
      <c r="DJ8" s="271" t="s">
        <v>364</v>
      </c>
      <c r="DK8" s="272" t="s">
        <v>358</v>
      </c>
      <c r="DL8" s="271" t="s">
        <v>350</v>
      </c>
      <c r="DM8" s="271" t="s">
        <v>364</v>
      </c>
      <c r="DN8" s="272" t="s">
        <v>481</v>
      </c>
      <c r="DO8" s="520" t="s">
        <v>834</v>
      </c>
      <c r="DP8" s="520"/>
      <c r="DQ8" s="527" t="s">
        <v>849</v>
      </c>
      <c r="DR8" s="531" t="s">
        <v>850</v>
      </c>
      <c r="DS8" s="271" t="s">
        <v>78</v>
      </c>
      <c r="DT8" s="105"/>
      <c r="DU8" s="28"/>
      <c r="DV8" s="28"/>
      <c r="DW8" s="28"/>
      <c r="DX8" s="28"/>
      <c r="DY8" s="28"/>
      <c r="DZ8" s="28"/>
      <c r="EA8" s="28"/>
      <c r="EB8" s="28"/>
    </row>
    <row r="9" spans="1:132" ht="287.25" customHeight="1" x14ac:dyDescent="0.2">
      <c r="A9" s="771"/>
      <c r="B9" s="10" t="s">
        <v>427</v>
      </c>
      <c r="C9" s="84"/>
      <c r="D9" s="235">
        <v>103</v>
      </c>
      <c r="E9" s="271" t="s">
        <v>830</v>
      </c>
      <c r="F9" s="272" t="s">
        <v>13</v>
      </c>
      <c r="G9" s="272" t="s">
        <v>428</v>
      </c>
      <c r="H9" s="276" t="s">
        <v>478</v>
      </c>
      <c r="I9" s="275" t="s">
        <v>785</v>
      </c>
      <c r="J9" s="271" t="s">
        <v>433</v>
      </c>
      <c r="K9" s="259" t="s">
        <v>622</v>
      </c>
      <c r="L9" s="272" t="s">
        <v>9</v>
      </c>
      <c r="M9" s="306">
        <f>N9*16500</f>
        <v>16500</v>
      </c>
      <c r="N9" s="301">
        <v>1</v>
      </c>
      <c r="O9" s="11"/>
      <c r="P9" s="303">
        <f>M9/$P$2</f>
        <v>103.125</v>
      </c>
      <c r="Q9" s="139">
        <f>T107</f>
        <v>6</v>
      </c>
      <c r="R9" s="266">
        <f>$R$107</f>
        <v>6</v>
      </c>
      <c r="S9" s="4">
        <v>85</v>
      </c>
      <c r="T9" s="4">
        <v>95</v>
      </c>
      <c r="U9" s="4">
        <v>50</v>
      </c>
      <c r="V9" s="4">
        <v>90</v>
      </c>
      <c r="W9" s="189">
        <f t="shared" si="0"/>
        <v>0.97714285714285709</v>
      </c>
      <c r="X9" s="51" t="s">
        <v>376</v>
      </c>
      <c r="Y9" s="145">
        <f t="shared" si="1"/>
        <v>256.16101499999996</v>
      </c>
      <c r="Z9" s="145">
        <f t="shared" si="2"/>
        <v>286.29760499999998</v>
      </c>
      <c r="AA9" s="145">
        <f t="shared" si="37"/>
        <v>116.19463640399998</v>
      </c>
      <c r="AB9" s="145">
        <f t="shared" si="38"/>
        <v>129.86459362799999</v>
      </c>
      <c r="AC9" s="145">
        <f t="shared" si="39"/>
        <v>123.02961501599998</v>
      </c>
      <c r="AD9" s="145">
        <f t="shared" si="3"/>
        <v>150.68295000000001</v>
      </c>
      <c r="AE9" s="145">
        <f t="shared" si="4"/>
        <v>271.22931000000005</v>
      </c>
      <c r="AF9" s="145">
        <f t="shared" si="40"/>
        <v>68.349786120000005</v>
      </c>
      <c r="AG9" s="145">
        <f t="shared" si="41"/>
        <v>123.02961501600002</v>
      </c>
      <c r="AH9" s="76">
        <v>150000</v>
      </c>
      <c r="AI9" s="76">
        <v>300000</v>
      </c>
      <c r="AJ9" s="76">
        <f t="shared" ref="AJ9:AJ55" si="48">(AH9+AI9)/2</f>
        <v>225000</v>
      </c>
      <c r="AK9" s="76">
        <f t="shared" ref="AK9:AK20" si="49">AH9*($AA$109/$AA$107)</f>
        <v>150000</v>
      </c>
      <c r="AL9" s="76">
        <f t="shared" ref="AL9:AL20" si="50">AI9*($AA$109/$AA$107)</f>
        <v>300000</v>
      </c>
      <c r="AM9" s="76">
        <f t="shared" si="5"/>
        <v>225000</v>
      </c>
      <c r="AN9" s="104">
        <v>0.85</v>
      </c>
      <c r="AO9" s="76">
        <v>250000</v>
      </c>
      <c r="AP9" s="76">
        <f t="shared" ref="AP9:AP48" si="51">(AK9*(1+$AN$2))+AO9</f>
        <v>460000</v>
      </c>
      <c r="AQ9" s="76">
        <f t="shared" ref="AQ9:AQ48" si="52">(AL9*(1+$AN$2))+AO9</f>
        <v>670000</v>
      </c>
      <c r="AR9" s="76">
        <f t="shared" ref="AR9:AR87" si="53">(AP9+AQ9)/2</f>
        <v>565000</v>
      </c>
      <c r="AS9" s="76">
        <v>5000</v>
      </c>
      <c r="AT9" s="76">
        <v>10000</v>
      </c>
      <c r="AU9" s="76">
        <f>(AS9+AT9)/2</f>
        <v>7500</v>
      </c>
      <c r="AV9" s="76">
        <f t="shared" ref="AV9:AV20" si="54">AS9*($AA$109/$AA$107)</f>
        <v>5000</v>
      </c>
      <c r="AW9" s="76">
        <f t="shared" ref="AW9:AW20" si="55">AT9*($AA$109/$AA$107)</f>
        <v>10000</v>
      </c>
      <c r="AX9" s="76">
        <f t="shared" si="6"/>
        <v>7500</v>
      </c>
      <c r="AY9" s="326">
        <v>0.75</v>
      </c>
      <c r="AZ9" s="51">
        <v>0.2</v>
      </c>
      <c r="BA9" s="51">
        <v>0</v>
      </c>
      <c r="BB9" s="327" t="s">
        <v>290</v>
      </c>
      <c r="BC9" s="76">
        <f t="shared" ref="BC9:BD13" si="56">AP9*(1+$AZ9)</f>
        <v>552000</v>
      </c>
      <c r="BD9" s="76">
        <f t="shared" si="56"/>
        <v>804000</v>
      </c>
      <c r="BE9" s="76">
        <f t="shared" si="42"/>
        <v>678000</v>
      </c>
      <c r="BF9" s="76">
        <f>AV9*(1+$BA9)</f>
        <v>5000</v>
      </c>
      <c r="BG9" s="76">
        <f>AW9*(1+$BA9)</f>
        <v>10000</v>
      </c>
      <c r="BH9" s="76">
        <f t="shared" si="7"/>
        <v>7500</v>
      </c>
      <c r="BI9" s="4">
        <v>20</v>
      </c>
      <c r="BJ9" s="76">
        <f>BE9*0.25</f>
        <v>169500</v>
      </c>
      <c r="BK9" s="76">
        <f t="shared" si="8"/>
        <v>169500</v>
      </c>
      <c r="BL9" s="111">
        <f t="shared" si="43"/>
        <v>0</v>
      </c>
      <c r="BM9" s="4">
        <f t="shared" si="9"/>
        <v>5424.5861999999988</v>
      </c>
      <c r="BN9" s="4">
        <f t="shared" ref="BN9:BN87" si="57">BM9*0.4536</f>
        <v>2460.5923003199996</v>
      </c>
      <c r="BO9" s="4">
        <f t="shared" si="10"/>
        <v>4219.1226000000006</v>
      </c>
      <c r="BP9" s="4">
        <f t="shared" ref="BP9:BP87" si="58">BO9*0.4536</f>
        <v>1913.7940113600002</v>
      </c>
      <c r="BQ9" s="324">
        <f t="shared" si="11"/>
        <v>5424.5861999999988</v>
      </c>
      <c r="BR9" s="324">
        <f t="shared" si="12"/>
        <v>2460.5923003199996</v>
      </c>
      <c r="BS9" s="324">
        <f t="shared" si="13"/>
        <v>4219.1226000000006</v>
      </c>
      <c r="BT9" s="324">
        <f t="shared" si="14"/>
        <v>1913.7940113600002</v>
      </c>
      <c r="BU9" s="76" t="str">
        <f t="shared" si="15"/>
        <v>N/A</v>
      </c>
      <c r="BV9" s="111">
        <f t="shared" si="16"/>
        <v>503.24570382984717</v>
      </c>
      <c r="BW9" s="88">
        <f t="shared" si="17"/>
        <v>124.98649205721907</v>
      </c>
      <c r="BX9" s="89">
        <f t="shared" si="18"/>
        <v>17.230176482226408</v>
      </c>
      <c r="BY9" s="89">
        <f t="shared" si="19"/>
        <v>142.21666853944546</v>
      </c>
      <c r="BZ9" s="89">
        <f t="shared" si="20"/>
        <v>275.54341282455698</v>
      </c>
      <c r="CA9" s="89">
        <f t="shared" si="21"/>
        <v>37.985397888506192</v>
      </c>
      <c r="CB9" s="89">
        <f t="shared" si="22"/>
        <v>313.52881071306319</v>
      </c>
      <c r="CC9" s="89">
        <f t="shared" si="23"/>
        <v>160.6969183592816</v>
      </c>
      <c r="CD9" s="89">
        <f t="shared" si="24"/>
        <v>22.153084048576801</v>
      </c>
      <c r="CE9" s="89">
        <f t="shared" si="25"/>
        <v>182.8500024078584</v>
      </c>
      <c r="CF9" s="89">
        <f t="shared" si="26"/>
        <v>354.27010220300178</v>
      </c>
      <c r="CG9" s="89">
        <f t="shared" si="27"/>
        <v>48.838368713793656</v>
      </c>
      <c r="CH9" s="89">
        <f t="shared" si="28"/>
        <v>403.10847091679545</v>
      </c>
      <c r="CI9" s="41">
        <f>IF(Z9&gt;0,((BC9+PV($BY$2,$CB$2,-BF9,0,0))/Z9),0)</f>
        <v>2145.7079660610502</v>
      </c>
      <c r="CJ9" s="41">
        <f>IF(Y9&gt;0,((BD9+PV($BY$2,$CB$2,-BG9,0,0))/Y9),0)</f>
        <v>3625.1499996023986</v>
      </c>
      <c r="CK9" s="41">
        <f>IF(AE9&gt;0,((BC9+PV($BY$2,$CB$2,-BF9,0,0))/AE9),0)</f>
        <v>2264.9139641755523</v>
      </c>
      <c r="CL9" s="41">
        <f>IF(AD9&gt;0,((BD9+PV($BY$2,$CB$2,-BG9,0,0))/AD9),0)</f>
        <v>6162.7549993240764</v>
      </c>
      <c r="CM9" s="346">
        <f t="shared" si="29"/>
        <v>124.98649205721907</v>
      </c>
      <c r="CN9" s="204">
        <f t="shared" si="30"/>
        <v>17.230176482226408</v>
      </c>
      <c r="CO9" s="204">
        <f t="shared" si="44"/>
        <v>142.21666853944546</v>
      </c>
      <c r="CP9" s="204">
        <f t="shared" si="31"/>
        <v>275.54341282455698</v>
      </c>
      <c r="CQ9" s="204">
        <f t="shared" si="32"/>
        <v>37.985397888506192</v>
      </c>
      <c r="CR9" s="204">
        <f t="shared" si="45"/>
        <v>313.52881071306319</v>
      </c>
      <c r="CS9" s="204">
        <f t="shared" si="33"/>
        <v>160.6969183592816</v>
      </c>
      <c r="CT9" s="204">
        <f t="shared" si="34"/>
        <v>22.153084048576801</v>
      </c>
      <c r="CU9" s="204">
        <f t="shared" si="46"/>
        <v>182.8500024078584</v>
      </c>
      <c r="CV9" s="204">
        <f t="shared" si="35"/>
        <v>354.27010220300178</v>
      </c>
      <c r="CW9" s="204">
        <f t="shared" si="36"/>
        <v>48.838368713793656</v>
      </c>
      <c r="CX9" s="204">
        <f t="shared" si="47"/>
        <v>403.10847091679545</v>
      </c>
      <c r="CY9" s="286" t="s">
        <v>307</v>
      </c>
      <c r="CZ9" s="285" t="s">
        <v>56</v>
      </c>
      <c r="DA9" s="285" t="s">
        <v>57</v>
      </c>
      <c r="DB9" s="285" t="s">
        <v>331</v>
      </c>
      <c r="DC9" s="285" t="s">
        <v>57</v>
      </c>
      <c r="DD9" s="275" t="s">
        <v>429</v>
      </c>
      <c r="DE9" s="275" t="s">
        <v>244</v>
      </c>
      <c r="DF9" s="285" t="s">
        <v>56</v>
      </c>
      <c r="DG9" s="285" t="s">
        <v>56</v>
      </c>
      <c r="DH9" s="285" t="s">
        <v>56</v>
      </c>
      <c r="DI9" s="285" t="s">
        <v>56</v>
      </c>
      <c r="DJ9" s="271" t="s">
        <v>364</v>
      </c>
      <c r="DK9" s="272" t="s">
        <v>358</v>
      </c>
      <c r="DL9" s="271" t="s">
        <v>350</v>
      </c>
      <c r="DM9" s="271" t="s">
        <v>364</v>
      </c>
      <c r="DN9" s="272" t="s">
        <v>481</v>
      </c>
      <c r="DO9" s="520" t="s">
        <v>834</v>
      </c>
      <c r="DP9" s="520"/>
      <c r="DQ9" s="527" t="s">
        <v>851</v>
      </c>
      <c r="DR9" s="531" t="s">
        <v>852</v>
      </c>
      <c r="DS9" s="271" t="s">
        <v>79</v>
      </c>
      <c r="DT9" s="105"/>
      <c r="DU9" s="28"/>
      <c r="DV9" s="28"/>
      <c r="DW9" s="28"/>
      <c r="DX9" s="28"/>
      <c r="DY9" s="28"/>
      <c r="DZ9" s="28"/>
      <c r="EA9" s="28"/>
      <c r="EB9" s="28"/>
    </row>
    <row r="10" spans="1:132" ht="294.75" customHeight="1" x14ac:dyDescent="0.2">
      <c r="A10" s="771"/>
      <c r="B10" s="10" t="s">
        <v>236</v>
      </c>
      <c r="C10" s="84"/>
      <c r="D10" s="235">
        <v>104</v>
      </c>
      <c r="E10" s="271" t="s">
        <v>821</v>
      </c>
      <c r="F10" s="272" t="s">
        <v>80</v>
      </c>
      <c r="G10" s="272" t="s">
        <v>76</v>
      </c>
      <c r="H10" s="276" t="s">
        <v>86</v>
      </c>
      <c r="I10" s="275" t="s">
        <v>785</v>
      </c>
      <c r="J10" s="271" t="s">
        <v>81</v>
      </c>
      <c r="K10" s="259" t="s">
        <v>578</v>
      </c>
      <c r="L10" s="272" t="s">
        <v>11</v>
      </c>
      <c r="M10" s="307">
        <v>10000</v>
      </c>
      <c r="N10" s="302" t="s">
        <v>77</v>
      </c>
      <c r="O10" s="11" t="s">
        <v>77</v>
      </c>
      <c r="P10" s="303">
        <f>M10/$P$2</f>
        <v>62.5</v>
      </c>
      <c r="Q10" s="588">
        <v>26.25</v>
      </c>
      <c r="R10" s="99">
        <f>U107</f>
        <v>1</v>
      </c>
      <c r="S10" s="587">
        <f>100*(1-40*(1-0.58)/$Q10)</f>
        <v>36</v>
      </c>
      <c r="T10" s="587">
        <f>100*(1-40*(1-0.98)/$Q10)</f>
        <v>96.952380952380949</v>
      </c>
      <c r="U10" s="4">
        <v>25</v>
      </c>
      <c r="V10" s="4">
        <v>75</v>
      </c>
      <c r="W10" s="189">
        <f t="shared" si="0"/>
        <v>0.66476190476190489</v>
      </c>
      <c r="X10" s="51" t="s">
        <v>376</v>
      </c>
      <c r="Y10" s="145">
        <f t="shared" si="1"/>
        <v>287.66744999999997</v>
      </c>
      <c r="Z10" s="145">
        <f t="shared" si="2"/>
        <v>774.72344999999996</v>
      </c>
      <c r="AA10" s="145">
        <f t="shared" si="37"/>
        <v>130.48595531999999</v>
      </c>
      <c r="AB10" s="145">
        <f t="shared" si="38"/>
        <v>351.41455692</v>
      </c>
      <c r="AC10" s="145">
        <f t="shared" si="39"/>
        <v>240.95025612000001</v>
      </c>
      <c r="AD10" s="145">
        <f t="shared" si="3"/>
        <v>7.6102499999999997</v>
      </c>
      <c r="AE10" s="145">
        <f t="shared" si="4"/>
        <v>22.830749999999998</v>
      </c>
      <c r="AF10" s="145">
        <f t="shared" si="40"/>
        <v>3.4520094000000001</v>
      </c>
      <c r="AG10" s="145">
        <f t="shared" si="41"/>
        <v>10.356028199999999</v>
      </c>
      <c r="AH10" s="76">
        <v>800000</v>
      </c>
      <c r="AI10" s="76">
        <v>1000000</v>
      </c>
      <c r="AJ10" s="76">
        <f t="shared" si="48"/>
        <v>900000</v>
      </c>
      <c r="AK10" s="76">
        <f t="shared" si="49"/>
        <v>800000</v>
      </c>
      <c r="AL10" s="76">
        <f t="shared" si="50"/>
        <v>1000000</v>
      </c>
      <c r="AM10" s="76">
        <f t="shared" si="5"/>
        <v>900000</v>
      </c>
      <c r="AN10" s="104">
        <v>0.45</v>
      </c>
      <c r="AO10" s="76">
        <f>$AA$121</f>
        <v>250000</v>
      </c>
      <c r="AP10" s="76">
        <f t="shared" si="51"/>
        <v>1370000</v>
      </c>
      <c r="AQ10" s="76">
        <f t="shared" si="52"/>
        <v>1650000</v>
      </c>
      <c r="AR10" s="76">
        <f t="shared" si="53"/>
        <v>1510000</v>
      </c>
      <c r="AS10" s="76">
        <v>450000</v>
      </c>
      <c r="AT10" s="76">
        <v>550000</v>
      </c>
      <c r="AU10" s="76">
        <f t="shared" ref="AU10:AU55" si="59">(AS10+AT10)/2</f>
        <v>500000</v>
      </c>
      <c r="AV10" s="76">
        <f t="shared" si="54"/>
        <v>450000</v>
      </c>
      <c r="AW10" s="76">
        <f t="shared" si="55"/>
        <v>550000</v>
      </c>
      <c r="AX10" s="76">
        <f t="shared" si="6"/>
        <v>500000</v>
      </c>
      <c r="AY10" s="326">
        <v>0.5</v>
      </c>
      <c r="AZ10" s="51">
        <v>0.1</v>
      </c>
      <c r="BA10" s="51">
        <v>0</v>
      </c>
      <c r="BB10" s="327" t="s">
        <v>291</v>
      </c>
      <c r="BC10" s="76">
        <f t="shared" si="56"/>
        <v>1507000.0000000002</v>
      </c>
      <c r="BD10" s="76">
        <f t="shared" si="56"/>
        <v>1815000.0000000002</v>
      </c>
      <c r="BE10" s="76">
        <f t="shared" si="42"/>
        <v>1661000.0000000002</v>
      </c>
      <c r="BF10" s="76">
        <f>AV10*(1+$BA10)</f>
        <v>450000</v>
      </c>
      <c r="BG10" s="76">
        <f>AW10*(1+$BA10)</f>
        <v>550000</v>
      </c>
      <c r="BH10" s="76">
        <f t="shared" si="7"/>
        <v>500000</v>
      </c>
      <c r="BI10" s="4">
        <v>10</v>
      </c>
      <c r="BJ10" s="76">
        <f>BE10*0.25</f>
        <v>415250.00000000006</v>
      </c>
      <c r="BK10" s="76">
        <f t="shared" si="8"/>
        <v>830500.00000000012</v>
      </c>
      <c r="BL10" s="111">
        <f t="shared" si="43"/>
        <v>254927.47853280033</v>
      </c>
      <c r="BM10" s="4">
        <f t="shared" si="9"/>
        <v>10623.909</v>
      </c>
      <c r="BN10" s="4">
        <f t="shared" si="57"/>
        <v>4819.0051223999999</v>
      </c>
      <c r="BO10" s="4">
        <f t="shared" si="10"/>
        <v>304.40999999999997</v>
      </c>
      <c r="BP10" s="4">
        <f t="shared" si="58"/>
        <v>138.08037599999997</v>
      </c>
      <c r="BQ10" s="324">
        <f t="shared" si="11"/>
        <v>10623.909</v>
      </c>
      <c r="BR10" s="324">
        <f t="shared" si="12"/>
        <v>4819.0051223999999</v>
      </c>
      <c r="BS10" s="324">
        <f t="shared" si="13"/>
        <v>304.40999999999997</v>
      </c>
      <c r="BT10" s="324">
        <f t="shared" si="14"/>
        <v>138.08037599999997</v>
      </c>
      <c r="BU10" s="76" t="str">
        <f t="shared" si="15"/>
        <v>N/A</v>
      </c>
      <c r="BV10" s="111">
        <f t="shared" si="16"/>
        <v>2628.3706490188815</v>
      </c>
      <c r="BW10" s="88">
        <f t="shared" si="17"/>
        <v>180.3411040637491</v>
      </c>
      <c r="BX10" s="89">
        <f t="shared" si="18"/>
        <v>586.51718226031426</v>
      </c>
      <c r="BY10" s="89">
        <f t="shared" si="19"/>
        <v>766.85828632406333</v>
      </c>
      <c r="BZ10" s="89">
        <f t="shared" si="20"/>
        <v>397.57738991126342</v>
      </c>
      <c r="CA10" s="89">
        <f t="shared" si="21"/>
        <v>1293.0272977520156</v>
      </c>
      <c r="CB10" s="89">
        <f t="shared" si="22"/>
        <v>1690.604687663279</v>
      </c>
      <c r="CC10" s="89">
        <f t="shared" si="23"/>
        <v>6293.9045318248436</v>
      </c>
      <c r="CD10" s="89">
        <f t="shared" si="24"/>
        <v>20469.449660884969</v>
      </c>
      <c r="CE10" s="89">
        <f t="shared" si="25"/>
        <v>26763.354192709812</v>
      </c>
      <c r="CF10" s="89">
        <f t="shared" si="26"/>
        <v>13875.450907903096</v>
      </c>
      <c r="CG10" s="89">
        <f t="shared" si="27"/>
        <v>45126.652691545358</v>
      </c>
      <c r="CH10" s="89">
        <f t="shared" si="28"/>
        <v>59002.103599448455</v>
      </c>
      <c r="CI10" s="41">
        <f>IF(Z10&gt;0,((BC10+PV($BY$2,$CB$2,-BF10,0,0))/Z10),0)</f>
        <v>9183.9154399456929</v>
      </c>
      <c r="CJ10" s="41">
        <f>IF(Y10&gt;0,((BD10+PV($BY$2,$CB$2,-BG10,0,0))/Y10),0)</f>
        <v>30136.241303619834</v>
      </c>
      <c r="CK10" s="41">
        <f>IF(AE10&gt;0,((BC10+PV($BY$2,$CB$2,-BF10,0,0))/AE10),0)</f>
        <v>311640.86392882385</v>
      </c>
      <c r="CL10" s="41">
        <f>IF(AD10&gt;0,((BD10+PV($BY$2,$CB$2,-BG10,0,0))/AD10),0)</f>
        <v>1139149.9212768297</v>
      </c>
      <c r="CM10" s="346">
        <f t="shared" si="29"/>
        <v>180.3411040637491</v>
      </c>
      <c r="CN10" s="204">
        <f t="shared" si="30"/>
        <v>586.51718226031426</v>
      </c>
      <c r="CO10" s="204">
        <f t="shared" si="44"/>
        <v>766.85828632406333</v>
      </c>
      <c r="CP10" s="204">
        <f t="shared" si="31"/>
        <v>397.57738991126342</v>
      </c>
      <c r="CQ10" s="204">
        <f t="shared" si="32"/>
        <v>1293.0272977520156</v>
      </c>
      <c r="CR10" s="204">
        <f t="shared" si="45"/>
        <v>1690.604687663279</v>
      </c>
      <c r="CS10" s="204">
        <f t="shared" si="33"/>
        <v>6293.9045318248436</v>
      </c>
      <c r="CT10" s="204">
        <f t="shared" si="34"/>
        <v>20469.449660884969</v>
      </c>
      <c r="CU10" s="204">
        <f t="shared" si="46"/>
        <v>26763.354192709812</v>
      </c>
      <c r="CV10" s="204">
        <f t="shared" si="35"/>
        <v>13875.450907903096</v>
      </c>
      <c r="CW10" s="204">
        <f t="shared" si="36"/>
        <v>45126.652691545358</v>
      </c>
      <c r="CX10" s="204">
        <f t="shared" si="47"/>
        <v>59002.103599448455</v>
      </c>
      <c r="CY10" s="286" t="s">
        <v>308</v>
      </c>
      <c r="CZ10" s="285" t="s">
        <v>56</v>
      </c>
      <c r="DA10" s="285" t="s">
        <v>57</v>
      </c>
      <c r="DB10" s="285" t="s">
        <v>331</v>
      </c>
      <c r="DC10" s="285" t="s">
        <v>56</v>
      </c>
      <c r="DD10" s="275" t="s">
        <v>82</v>
      </c>
      <c r="DE10" s="275" t="s">
        <v>245</v>
      </c>
      <c r="DF10" s="285" t="s">
        <v>56</v>
      </c>
      <c r="DG10" s="285" t="s">
        <v>56</v>
      </c>
      <c r="DH10" s="285" t="s">
        <v>241</v>
      </c>
      <c r="DI10" s="285" t="s">
        <v>56</v>
      </c>
      <c r="DJ10" s="271" t="s">
        <v>364</v>
      </c>
      <c r="DK10" s="272" t="s">
        <v>358</v>
      </c>
      <c r="DL10" s="271" t="s">
        <v>350</v>
      </c>
      <c r="DM10" s="271" t="s">
        <v>364</v>
      </c>
      <c r="DN10" s="272" t="s">
        <v>481</v>
      </c>
      <c r="DO10" s="520" t="s">
        <v>834</v>
      </c>
      <c r="DP10" s="520"/>
      <c r="DQ10" s="527" t="s">
        <v>853</v>
      </c>
      <c r="DR10" s="531" t="s">
        <v>854</v>
      </c>
      <c r="DS10" s="271" t="s">
        <v>83</v>
      </c>
      <c r="DT10" s="105"/>
      <c r="DU10" s="28"/>
      <c r="DV10" s="28"/>
      <c r="DW10" s="28"/>
      <c r="DX10" s="28"/>
      <c r="DY10" s="28"/>
      <c r="DZ10" s="28"/>
      <c r="EA10" s="28"/>
      <c r="EB10" s="28"/>
    </row>
    <row r="11" spans="1:132" ht="178.5" customHeight="1" x14ac:dyDescent="0.2">
      <c r="A11" s="771"/>
      <c r="B11" s="10" t="s">
        <v>347</v>
      </c>
      <c r="C11" s="84"/>
      <c r="D11" s="235">
        <v>105</v>
      </c>
      <c r="E11" s="271" t="s">
        <v>797</v>
      </c>
      <c r="F11" s="272" t="s">
        <v>84</v>
      </c>
      <c r="G11" s="272" t="s">
        <v>85</v>
      </c>
      <c r="H11" s="276" t="s">
        <v>86</v>
      </c>
      <c r="I11" s="275" t="s">
        <v>785</v>
      </c>
      <c r="J11" s="271" t="s">
        <v>434</v>
      </c>
      <c r="K11" s="259" t="s">
        <v>579</v>
      </c>
      <c r="L11" s="272" t="s">
        <v>9</v>
      </c>
      <c r="M11" s="306">
        <f>N11*1200</f>
        <v>1200</v>
      </c>
      <c r="N11" s="301">
        <v>1</v>
      </c>
      <c r="O11" s="11" t="s">
        <v>77</v>
      </c>
      <c r="P11" s="303">
        <f>M11/$P$2</f>
        <v>7.5</v>
      </c>
      <c r="Q11" s="139">
        <v>6</v>
      </c>
      <c r="R11" s="266">
        <f>$R$110</f>
        <v>2</v>
      </c>
      <c r="S11" s="324">
        <v>50</v>
      </c>
      <c r="T11" s="324">
        <v>75</v>
      </c>
      <c r="U11" s="324">
        <v>50</v>
      </c>
      <c r="V11" s="324">
        <v>75</v>
      </c>
      <c r="W11" s="189">
        <f t="shared" si="0"/>
        <v>0.91428571428571426</v>
      </c>
      <c r="X11" s="51" t="s">
        <v>376</v>
      </c>
      <c r="Y11" s="145">
        <f t="shared" si="1"/>
        <v>10.95876</v>
      </c>
      <c r="Z11" s="145">
        <f t="shared" si="2"/>
        <v>16.438140000000001</v>
      </c>
      <c r="AA11" s="145">
        <f t="shared" si="37"/>
        <v>4.9708935360000002</v>
      </c>
      <c r="AB11" s="145">
        <f t="shared" si="38"/>
        <v>7.4563403040000003</v>
      </c>
      <c r="AC11" s="145">
        <f t="shared" si="39"/>
        <v>6.2136169199999998</v>
      </c>
      <c r="AD11" s="145">
        <f t="shared" si="3"/>
        <v>3.6529199999999999</v>
      </c>
      <c r="AE11" s="145">
        <f t="shared" si="4"/>
        <v>5.4793799999999999</v>
      </c>
      <c r="AF11" s="145">
        <f t="shared" si="40"/>
        <v>1.6569645120000001</v>
      </c>
      <c r="AG11" s="145">
        <f t="shared" si="41"/>
        <v>2.4854467680000001</v>
      </c>
      <c r="AH11" s="76">
        <v>25000</v>
      </c>
      <c r="AI11" s="76">
        <v>50000</v>
      </c>
      <c r="AJ11" s="76">
        <f t="shared" si="48"/>
        <v>37500</v>
      </c>
      <c r="AK11" s="76">
        <f t="shared" si="49"/>
        <v>25000</v>
      </c>
      <c r="AL11" s="76">
        <f t="shared" si="50"/>
        <v>50000</v>
      </c>
      <c r="AM11" s="76">
        <f t="shared" si="5"/>
        <v>37500</v>
      </c>
      <c r="AN11" s="104">
        <v>0.6</v>
      </c>
      <c r="AO11" s="76">
        <v>250000</v>
      </c>
      <c r="AP11" s="76">
        <f t="shared" si="51"/>
        <v>285000</v>
      </c>
      <c r="AQ11" s="76">
        <f t="shared" si="52"/>
        <v>320000</v>
      </c>
      <c r="AR11" s="76">
        <f t="shared" si="53"/>
        <v>302500</v>
      </c>
      <c r="AS11" s="76">
        <v>5000</v>
      </c>
      <c r="AT11" s="76">
        <v>15000</v>
      </c>
      <c r="AU11" s="76">
        <f t="shared" si="59"/>
        <v>10000</v>
      </c>
      <c r="AV11" s="76">
        <f t="shared" si="54"/>
        <v>5000</v>
      </c>
      <c r="AW11" s="76">
        <f t="shared" si="55"/>
        <v>15000</v>
      </c>
      <c r="AX11" s="76">
        <f t="shared" si="6"/>
        <v>10000</v>
      </c>
      <c r="AY11" s="326">
        <v>0.5</v>
      </c>
      <c r="AZ11" s="51">
        <v>0.2</v>
      </c>
      <c r="BA11" s="51">
        <v>0.1</v>
      </c>
      <c r="BB11" s="327" t="s">
        <v>435</v>
      </c>
      <c r="BC11" s="76">
        <f t="shared" si="56"/>
        <v>342000</v>
      </c>
      <c r="BD11" s="76">
        <f t="shared" si="56"/>
        <v>384000</v>
      </c>
      <c r="BE11" s="76">
        <f t="shared" si="42"/>
        <v>363000</v>
      </c>
      <c r="BF11" s="76">
        <f>AV11*(1+$AZ11)</f>
        <v>6000</v>
      </c>
      <c r="BG11" s="76">
        <f>AW11*(1+$AZ11)</f>
        <v>18000</v>
      </c>
      <c r="BH11" s="76">
        <f t="shared" si="7"/>
        <v>11000</v>
      </c>
      <c r="BI11" s="4">
        <v>10</v>
      </c>
      <c r="BJ11" s="76">
        <f>BE11*0.25</f>
        <v>90750</v>
      </c>
      <c r="BK11" s="76">
        <f t="shared" si="8"/>
        <v>181500</v>
      </c>
      <c r="BL11" s="111">
        <f t="shared" si="43"/>
        <v>55712.62775882391</v>
      </c>
      <c r="BM11" s="4">
        <f t="shared" si="9"/>
        <v>273.96900000000005</v>
      </c>
      <c r="BN11" s="4">
        <f t="shared" si="57"/>
        <v>124.27233840000002</v>
      </c>
      <c r="BO11" s="4">
        <f t="shared" si="10"/>
        <v>91.323000000000008</v>
      </c>
      <c r="BP11" s="4">
        <f t="shared" si="58"/>
        <v>41.424112800000003</v>
      </c>
      <c r="BQ11" s="324">
        <f t="shared" si="11"/>
        <v>273.96900000000005</v>
      </c>
      <c r="BR11" s="324">
        <f t="shared" si="12"/>
        <v>124.27233840000002</v>
      </c>
      <c r="BS11" s="324">
        <f t="shared" si="13"/>
        <v>91.323000000000008</v>
      </c>
      <c r="BT11" s="324">
        <f t="shared" si="14"/>
        <v>41.424112800000003</v>
      </c>
      <c r="BU11" s="76" t="str">
        <f t="shared" si="15"/>
        <v>N/A</v>
      </c>
      <c r="BV11" s="111">
        <f t="shared" si="16"/>
        <v>6458.9154498822181</v>
      </c>
      <c r="BW11" s="88">
        <f t="shared" si="17"/>
        <v>1528.321188743339</v>
      </c>
      <c r="BX11" s="89">
        <f t="shared" si="18"/>
        <v>500.36432504385465</v>
      </c>
      <c r="BY11" s="89">
        <f t="shared" si="19"/>
        <v>2028.6855137871937</v>
      </c>
      <c r="BZ11" s="89">
        <f t="shared" si="20"/>
        <v>3369.3147899985429</v>
      </c>
      <c r="CA11" s="89">
        <f t="shared" si="21"/>
        <v>1103.0959546822191</v>
      </c>
      <c r="CB11" s="89">
        <f t="shared" si="22"/>
        <v>4472.410744680762</v>
      </c>
      <c r="CC11" s="89">
        <f t="shared" si="23"/>
        <v>4584.963566230017</v>
      </c>
      <c r="CD11" s="89">
        <f t="shared" si="24"/>
        <v>1501.0929751315641</v>
      </c>
      <c r="CE11" s="89">
        <f t="shared" si="25"/>
        <v>6086.0565413615814</v>
      </c>
      <c r="CF11" s="89">
        <f t="shared" si="26"/>
        <v>10107.94436999563</v>
      </c>
      <c r="CG11" s="89">
        <f t="shared" si="27"/>
        <v>3309.2878640466579</v>
      </c>
      <c r="CH11" s="89">
        <f t="shared" si="28"/>
        <v>13417.232234042287</v>
      </c>
      <c r="CI11" s="41" t="e">
        <f>IF(AD11&gt;0,((BC11+PV($BX$2,$CA$2,-BF11,0,0))/AD11),0)</f>
        <v>#VALUE!</v>
      </c>
      <c r="CJ11" s="41" t="e">
        <f>IF(Z11&gt;0,((BD11+PV($BX$2,$CA$2,-BG11,0,0))/Z11),0)</f>
        <v>#VALUE!</v>
      </c>
      <c r="CK11" s="41" t="e">
        <f>IF(L11&gt;0,((BC11+PV($BX$2,$CA$2,-BF11,0,0))/L11),0)</f>
        <v>#VALUE!</v>
      </c>
      <c r="CL11" s="41" t="e">
        <f>IF(AE11&gt;0,((BD11+PV($BX$2,$CA$2,-BG11,0,0))/AE11),0)</f>
        <v>#VALUE!</v>
      </c>
      <c r="CM11" s="346">
        <f t="shared" si="29"/>
        <v>1528.321188743339</v>
      </c>
      <c r="CN11" s="204">
        <f t="shared" si="30"/>
        <v>500.36432504385465</v>
      </c>
      <c r="CO11" s="204">
        <f t="shared" si="44"/>
        <v>2028.6855137871937</v>
      </c>
      <c r="CP11" s="204">
        <f t="shared" si="31"/>
        <v>3369.3147899985429</v>
      </c>
      <c r="CQ11" s="204">
        <f t="shared" si="32"/>
        <v>1103.0959546822191</v>
      </c>
      <c r="CR11" s="204">
        <f t="shared" si="45"/>
        <v>4472.410744680762</v>
      </c>
      <c r="CS11" s="204">
        <f t="shared" si="33"/>
        <v>4584.963566230017</v>
      </c>
      <c r="CT11" s="204">
        <f t="shared" si="34"/>
        <v>1501.0929751315641</v>
      </c>
      <c r="CU11" s="204">
        <f t="shared" si="46"/>
        <v>6086.0565413615814</v>
      </c>
      <c r="CV11" s="204">
        <f t="shared" si="35"/>
        <v>10107.94436999563</v>
      </c>
      <c r="CW11" s="204">
        <f t="shared" si="36"/>
        <v>3309.2878640466579</v>
      </c>
      <c r="CX11" s="204">
        <f t="shared" si="47"/>
        <v>13417.232234042287</v>
      </c>
      <c r="CY11" s="286" t="s">
        <v>308</v>
      </c>
      <c r="CZ11" s="285" t="s">
        <v>57</v>
      </c>
      <c r="DA11" s="285" t="s">
        <v>57</v>
      </c>
      <c r="DB11" s="285" t="s">
        <v>331</v>
      </c>
      <c r="DC11" s="285" t="s">
        <v>56</v>
      </c>
      <c r="DD11" s="275" t="s">
        <v>439</v>
      </c>
      <c r="DE11" s="275" t="s">
        <v>352</v>
      </c>
      <c r="DF11" s="285" t="s">
        <v>56</v>
      </c>
      <c r="DG11" s="285" t="s">
        <v>56</v>
      </c>
      <c r="DH11" s="285" t="s">
        <v>56</v>
      </c>
      <c r="DI11" s="285" t="s">
        <v>56</v>
      </c>
      <c r="DJ11" s="271" t="s">
        <v>364</v>
      </c>
      <c r="DK11" s="272" t="s">
        <v>366</v>
      </c>
      <c r="DL11" s="271" t="s">
        <v>350</v>
      </c>
      <c r="DM11" s="271" t="s">
        <v>364</v>
      </c>
      <c r="DN11" s="272" t="s">
        <v>481</v>
      </c>
      <c r="DO11" s="520" t="s">
        <v>834</v>
      </c>
      <c r="DP11" s="520"/>
      <c r="DQ11" s="527" t="s">
        <v>855</v>
      </c>
      <c r="DR11" s="532" t="s">
        <v>856</v>
      </c>
      <c r="DS11" s="271" t="s">
        <v>88</v>
      </c>
      <c r="DT11" s="105"/>
      <c r="DU11" s="28"/>
      <c r="DV11" s="28"/>
      <c r="DW11" s="28"/>
      <c r="DX11" s="28"/>
      <c r="DY11" s="28"/>
      <c r="DZ11" s="28"/>
      <c r="EA11" s="28"/>
      <c r="EB11" s="28"/>
    </row>
    <row r="12" spans="1:132" s="558" customFormat="1" ht="178.5" customHeight="1" x14ac:dyDescent="0.2">
      <c r="A12" s="771"/>
      <c r="B12" s="559" t="s">
        <v>917</v>
      </c>
      <c r="C12" s="536"/>
      <c r="D12" s="560">
        <v>111</v>
      </c>
      <c r="E12" s="561" t="s">
        <v>963</v>
      </c>
      <c r="F12" s="540" t="s">
        <v>14</v>
      </c>
      <c r="G12" s="538" t="s">
        <v>918</v>
      </c>
      <c r="H12" s="540" t="s">
        <v>90</v>
      </c>
      <c r="I12" s="561" t="s">
        <v>919</v>
      </c>
      <c r="J12" s="561" t="s">
        <v>920</v>
      </c>
      <c r="K12" s="539" t="s">
        <v>580</v>
      </c>
      <c r="L12" s="540" t="s">
        <v>926</v>
      </c>
      <c r="M12" s="306">
        <v>2750</v>
      </c>
      <c r="N12" s="301">
        <v>1</v>
      </c>
      <c r="O12" s="11" t="s">
        <v>77</v>
      </c>
      <c r="P12" s="303" t="s">
        <v>77</v>
      </c>
      <c r="Q12" s="99">
        <v>3.25</v>
      </c>
      <c r="R12" s="99">
        <f>$U$110</f>
        <v>0.3</v>
      </c>
      <c r="S12" s="324">
        <v>46</v>
      </c>
      <c r="T12" s="324">
        <v>65</v>
      </c>
      <c r="U12" s="324">
        <v>42</v>
      </c>
      <c r="V12" s="324">
        <v>42</v>
      </c>
      <c r="W12" s="189">
        <f t="shared" si="0"/>
        <v>0.94490476190476191</v>
      </c>
      <c r="X12" s="542" t="s">
        <v>373</v>
      </c>
      <c r="Y12" s="145">
        <f t="shared" si="1"/>
        <v>12.515056125000001</v>
      </c>
      <c r="Z12" s="145">
        <f t="shared" si="2"/>
        <v>17.6843184375</v>
      </c>
      <c r="AA12" s="145">
        <f t="shared" si="37"/>
        <v>5.6768294583000003</v>
      </c>
      <c r="AB12" s="145">
        <f t="shared" si="38"/>
        <v>8.0216068432499998</v>
      </c>
      <c r="AC12" s="145">
        <f t="shared" si="39"/>
        <v>6.8492181507750001</v>
      </c>
      <c r="AD12" s="145">
        <f t="shared" si="3"/>
        <v>1.0547806499999999</v>
      </c>
      <c r="AE12" s="145">
        <f t="shared" si="4"/>
        <v>1.0547806499999999</v>
      </c>
      <c r="AF12" s="145">
        <f t="shared" si="40"/>
        <v>0.47844850283999996</v>
      </c>
      <c r="AG12" s="145">
        <f t="shared" si="41"/>
        <v>0.47844850283999996</v>
      </c>
      <c r="AH12" s="543">
        <v>25000</v>
      </c>
      <c r="AI12" s="543">
        <v>100000</v>
      </c>
      <c r="AJ12" s="543">
        <f t="shared" si="48"/>
        <v>62500</v>
      </c>
      <c r="AK12" s="543">
        <f t="shared" si="49"/>
        <v>25000</v>
      </c>
      <c r="AL12" s="543">
        <f t="shared" si="50"/>
        <v>100000</v>
      </c>
      <c r="AM12" s="76">
        <f t="shared" si="5"/>
        <v>62500</v>
      </c>
      <c r="AN12" s="544">
        <v>0.6</v>
      </c>
      <c r="AO12" s="76">
        <f>$AA$121</f>
        <v>250000</v>
      </c>
      <c r="AP12" s="543">
        <f t="shared" si="51"/>
        <v>285000</v>
      </c>
      <c r="AQ12" s="543">
        <f t="shared" si="52"/>
        <v>390000</v>
      </c>
      <c r="AR12" s="76">
        <f t="shared" si="53"/>
        <v>337500</v>
      </c>
      <c r="AS12" s="543">
        <v>4000</v>
      </c>
      <c r="AT12" s="543">
        <v>6000</v>
      </c>
      <c r="AU12" s="543">
        <f t="shared" si="59"/>
        <v>5000</v>
      </c>
      <c r="AV12" s="543">
        <f t="shared" si="54"/>
        <v>4000</v>
      </c>
      <c r="AW12" s="543">
        <f t="shared" si="55"/>
        <v>6000</v>
      </c>
      <c r="AX12" s="76">
        <f t="shared" si="6"/>
        <v>5000</v>
      </c>
      <c r="AY12" s="545">
        <v>0.5</v>
      </c>
      <c r="AZ12" s="542">
        <v>0.2</v>
      </c>
      <c r="BA12" s="542">
        <v>0.1</v>
      </c>
      <c r="BB12" s="547" t="s">
        <v>292</v>
      </c>
      <c r="BC12" s="543">
        <f t="shared" si="56"/>
        <v>342000</v>
      </c>
      <c r="BD12" s="543">
        <f t="shared" si="56"/>
        <v>468000</v>
      </c>
      <c r="BE12" s="76">
        <f t="shared" si="42"/>
        <v>405000</v>
      </c>
      <c r="BF12" s="543">
        <f t="shared" ref="BF12:BG13" si="60">AV12*(1+$AZ12)</f>
        <v>4800</v>
      </c>
      <c r="BG12" s="543">
        <f t="shared" si="60"/>
        <v>7200</v>
      </c>
      <c r="BH12" s="76">
        <f t="shared" si="7"/>
        <v>5500</v>
      </c>
      <c r="BI12" s="4">
        <v>20</v>
      </c>
      <c r="BJ12" s="76">
        <f t="shared" ref="BJ12:BJ13" si="61">BE12*0.25</f>
        <v>101250</v>
      </c>
      <c r="BK12" s="543">
        <f t="shared" si="8"/>
        <v>101250</v>
      </c>
      <c r="BL12" s="111">
        <f t="shared" si="43"/>
        <v>0</v>
      </c>
      <c r="BM12" s="4">
        <f t="shared" si="9"/>
        <v>301.99374562500003</v>
      </c>
      <c r="BN12" s="4">
        <f t="shared" si="57"/>
        <v>136.98436301550001</v>
      </c>
      <c r="BO12" s="4">
        <f t="shared" si="10"/>
        <v>21.095612999999997</v>
      </c>
      <c r="BP12" s="4">
        <f t="shared" si="58"/>
        <v>9.5689700567999978</v>
      </c>
      <c r="BQ12" s="324">
        <f t="shared" si="11"/>
        <v>301.99374562500003</v>
      </c>
      <c r="BR12" s="324">
        <f t="shared" si="12"/>
        <v>136.98436301550001</v>
      </c>
      <c r="BS12" s="324">
        <f t="shared" si="13"/>
        <v>21.095612999999997</v>
      </c>
      <c r="BT12" s="324">
        <f t="shared" si="14"/>
        <v>9.5689700567999978</v>
      </c>
      <c r="BU12" s="543" t="str">
        <f t="shared" si="15"/>
        <v>N/A</v>
      </c>
      <c r="BV12" s="548">
        <f t="shared" si="16"/>
        <v>5548.6643883274874</v>
      </c>
      <c r="BW12" s="549">
        <f t="shared" si="17"/>
        <v>1341.0873763687403</v>
      </c>
      <c r="BX12" s="550">
        <f t="shared" si="18"/>
        <v>226.96548480537729</v>
      </c>
      <c r="BY12" s="89">
        <f t="shared" si="19"/>
        <v>1568.0528611741174</v>
      </c>
      <c r="BZ12" s="89">
        <f t="shared" si="20"/>
        <v>2956.541835028087</v>
      </c>
      <c r="CA12" s="89">
        <f t="shared" si="21"/>
        <v>500.36482540868008</v>
      </c>
      <c r="CB12" s="89">
        <f t="shared" si="22"/>
        <v>3456.9066604367672</v>
      </c>
      <c r="CC12" s="550">
        <f t="shared" si="23"/>
        <v>19198.304405754887</v>
      </c>
      <c r="CD12" s="550">
        <f t="shared" si="24"/>
        <v>3249.118993791265</v>
      </c>
      <c r="CE12" s="550">
        <f t="shared" si="25"/>
        <v>22447.423399546151</v>
      </c>
      <c r="CF12" s="89">
        <f t="shared" si="26"/>
        <v>42324.304245491374</v>
      </c>
      <c r="CG12" s="89">
        <f t="shared" si="27"/>
        <v>7162.960744689738</v>
      </c>
      <c r="CH12" s="89">
        <f t="shared" si="28"/>
        <v>49487.264990181109</v>
      </c>
      <c r="CI12" s="551" t="e">
        <f>IF(AD12&gt;0,((BC12+PV($BX$2,$CA$2,-BF12,0,0))/AD12),0)</f>
        <v>#VALUE!</v>
      </c>
      <c r="CJ12" s="551" t="e">
        <f>IF(Z12&gt;0,((BD12+PV($BX$2,$CA$2,-BG12,0,0))/Z12),0)</f>
        <v>#VALUE!</v>
      </c>
      <c r="CK12" s="551" t="e">
        <f>IF(L12&gt;0,((BC12+PV($BX$2,$CA$2,-BF12,0,0))/L12),0)</f>
        <v>#VALUE!</v>
      </c>
      <c r="CL12" s="551" t="e">
        <f>IF(AE12&gt;0,((BD12+PV($BX$2,$CA$2,-BG12,0,0))/AE12),0)</f>
        <v>#VALUE!</v>
      </c>
      <c r="CM12" s="552">
        <f t="shared" si="29"/>
        <v>1341.0873763687403</v>
      </c>
      <c r="CN12" s="553">
        <f t="shared" si="30"/>
        <v>226.96548480537729</v>
      </c>
      <c r="CO12" s="553">
        <f t="shared" si="44"/>
        <v>1568.0528611741174</v>
      </c>
      <c r="CP12" s="553">
        <f t="shared" si="31"/>
        <v>2956.541835028087</v>
      </c>
      <c r="CQ12" s="553">
        <f t="shared" si="32"/>
        <v>500.36482540868008</v>
      </c>
      <c r="CR12" s="553">
        <f t="shared" si="45"/>
        <v>3456.9066604367672</v>
      </c>
      <c r="CS12" s="553">
        <f t="shared" si="33"/>
        <v>19198.304405754887</v>
      </c>
      <c r="CT12" s="553">
        <f t="shared" si="34"/>
        <v>3249.118993791265</v>
      </c>
      <c r="CU12" s="553">
        <f t="shared" si="46"/>
        <v>22447.423399546151</v>
      </c>
      <c r="CV12" s="553">
        <f t="shared" si="35"/>
        <v>42324.304245491374</v>
      </c>
      <c r="CW12" s="553">
        <f t="shared" si="36"/>
        <v>7162.960744689738</v>
      </c>
      <c r="CX12" s="553">
        <f t="shared" si="47"/>
        <v>49487.264990181109</v>
      </c>
      <c r="CY12" s="597" t="s">
        <v>118</v>
      </c>
      <c r="CZ12" s="562" t="s">
        <v>57</v>
      </c>
      <c r="DA12" s="562" t="s">
        <v>57</v>
      </c>
      <c r="DB12" s="562" t="s">
        <v>331</v>
      </c>
      <c r="DC12" s="562" t="s">
        <v>56</v>
      </c>
      <c r="DD12" s="561" t="s">
        <v>440</v>
      </c>
      <c r="DE12" s="561" t="s">
        <v>87</v>
      </c>
      <c r="DF12" s="562" t="s">
        <v>56</v>
      </c>
      <c r="DG12" s="562" t="s">
        <v>56</v>
      </c>
      <c r="DH12" s="562" t="s">
        <v>56</v>
      </c>
      <c r="DI12" s="562" t="s">
        <v>56</v>
      </c>
      <c r="DJ12" s="561" t="s">
        <v>359</v>
      </c>
      <c r="DK12" s="563" t="s">
        <v>361</v>
      </c>
      <c r="DL12" s="561" t="s">
        <v>350</v>
      </c>
      <c r="DM12" s="561" t="s">
        <v>359</v>
      </c>
      <c r="DN12" s="563" t="s">
        <v>361</v>
      </c>
      <c r="DO12" s="554"/>
      <c r="DP12" s="554"/>
      <c r="DQ12" s="554"/>
      <c r="DR12" s="555" t="s">
        <v>994</v>
      </c>
      <c r="DS12" s="561" t="s">
        <v>987</v>
      </c>
      <c r="DT12" s="556"/>
      <c r="DU12" s="557"/>
      <c r="DV12" s="557"/>
      <c r="DW12" s="557"/>
      <c r="DX12" s="557"/>
      <c r="DY12" s="557"/>
      <c r="DZ12" s="557"/>
      <c r="EA12" s="557"/>
      <c r="EB12" s="557"/>
    </row>
    <row r="13" spans="1:132" s="558" customFormat="1" ht="220.5" customHeight="1" x14ac:dyDescent="0.2">
      <c r="A13" s="771"/>
      <c r="B13" s="559" t="s">
        <v>995</v>
      </c>
      <c r="C13" s="536"/>
      <c r="D13" s="560">
        <v>106</v>
      </c>
      <c r="E13" s="561" t="s">
        <v>963</v>
      </c>
      <c r="F13" s="540" t="s">
        <v>14</v>
      </c>
      <c r="G13" s="538" t="s">
        <v>369</v>
      </c>
      <c r="H13" s="540" t="s">
        <v>90</v>
      </c>
      <c r="I13" s="561" t="s">
        <v>919</v>
      </c>
      <c r="J13" s="561" t="s">
        <v>920</v>
      </c>
      <c r="K13" s="539" t="s">
        <v>580</v>
      </c>
      <c r="L13" s="540" t="s">
        <v>926</v>
      </c>
      <c r="M13" s="306">
        <v>2750</v>
      </c>
      <c r="N13" s="301">
        <v>1</v>
      </c>
      <c r="O13" s="11" t="s">
        <v>77</v>
      </c>
      <c r="P13" s="303" t="s">
        <v>77</v>
      </c>
      <c r="Q13" s="99">
        <v>3.25</v>
      </c>
      <c r="R13" s="99">
        <f>$U$110</f>
        <v>0.3</v>
      </c>
      <c r="S13" s="324">
        <v>13</v>
      </c>
      <c r="T13" s="324">
        <v>19</v>
      </c>
      <c r="U13" s="324">
        <v>45</v>
      </c>
      <c r="V13" s="324">
        <v>45</v>
      </c>
      <c r="W13" s="189">
        <f t="shared" si="0"/>
        <v>0.89600000000000002</v>
      </c>
      <c r="X13" s="542" t="s">
        <v>374</v>
      </c>
      <c r="Y13" s="145">
        <f t="shared" si="1"/>
        <v>3.5368636874999995</v>
      </c>
      <c r="Z13" s="145">
        <f t="shared" si="2"/>
        <v>5.1692623124999999</v>
      </c>
      <c r="AA13" s="145">
        <f t="shared" si="37"/>
        <v>1.6043213686499997</v>
      </c>
      <c r="AB13" s="145">
        <f t="shared" si="38"/>
        <v>2.34477738495</v>
      </c>
      <c r="AC13" s="145">
        <f>(AA13+AB13)/2</f>
        <v>1.9745493767999998</v>
      </c>
      <c r="AD13" s="145">
        <f t="shared" si="3"/>
        <v>1.130122125</v>
      </c>
      <c r="AE13" s="145">
        <f t="shared" si="4"/>
        <v>1.130122125</v>
      </c>
      <c r="AF13" s="145">
        <f t="shared" si="40"/>
        <v>0.51262339589999995</v>
      </c>
      <c r="AG13" s="145">
        <f t="shared" si="41"/>
        <v>0.51262339589999995</v>
      </c>
      <c r="AH13" s="76">
        <v>25000</v>
      </c>
      <c r="AI13" s="76">
        <v>100000</v>
      </c>
      <c r="AJ13" s="76">
        <f t="shared" si="48"/>
        <v>62500</v>
      </c>
      <c r="AK13" s="76">
        <f t="shared" si="49"/>
        <v>25000</v>
      </c>
      <c r="AL13" s="76">
        <f t="shared" si="50"/>
        <v>100000</v>
      </c>
      <c r="AM13" s="76">
        <f t="shared" si="5"/>
        <v>62500</v>
      </c>
      <c r="AN13" s="104">
        <v>0.6</v>
      </c>
      <c r="AO13" s="76">
        <f>$AA$121</f>
        <v>250000</v>
      </c>
      <c r="AP13" s="76">
        <f t="shared" si="51"/>
        <v>285000</v>
      </c>
      <c r="AQ13" s="76">
        <f t="shared" si="52"/>
        <v>390000</v>
      </c>
      <c r="AR13" s="76">
        <f t="shared" si="53"/>
        <v>337500</v>
      </c>
      <c r="AS13" s="76">
        <v>4000</v>
      </c>
      <c r="AT13" s="76">
        <v>6000</v>
      </c>
      <c r="AU13" s="76">
        <f t="shared" si="59"/>
        <v>5000</v>
      </c>
      <c r="AV13" s="76">
        <f t="shared" si="54"/>
        <v>4000</v>
      </c>
      <c r="AW13" s="76">
        <f t="shared" si="55"/>
        <v>6000</v>
      </c>
      <c r="AX13" s="76">
        <f t="shared" si="6"/>
        <v>5000</v>
      </c>
      <c r="AY13" s="326">
        <v>0.5</v>
      </c>
      <c r="AZ13" s="542">
        <v>0.2</v>
      </c>
      <c r="BA13" s="542">
        <v>0.1</v>
      </c>
      <c r="BB13" s="327" t="s">
        <v>292</v>
      </c>
      <c r="BC13" s="76">
        <f t="shared" si="56"/>
        <v>342000</v>
      </c>
      <c r="BD13" s="76">
        <f t="shared" si="56"/>
        <v>468000</v>
      </c>
      <c r="BE13" s="76">
        <f t="shared" si="42"/>
        <v>405000</v>
      </c>
      <c r="BF13" s="76">
        <f t="shared" si="60"/>
        <v>4800</v>
      </c>
      <c r="BG13" s="76">
        <f t="shared" si="60"/>
        <v>7200</v>
      </c>
      <c r="BH13" s="76">
        <f t="shared" si="7"/>
        <v>5500</v>
      </c>
      <c r="BI13" s="4">
        <v>20</v>
      </c>
      <c r="BJ13" s="76">
        <f t="shared" si="61"/>
        <v>101250</v>
      </c>
      <c r="BK13" s="76">
        <f t="shared" si="8"/>
        <v>101250</v>
      </c>
      <c r="BL13" s="111">
        <f t="shared" si="43"/>
        <v>0</v>
      </c>
      <c r="BM13" s="4">
        <f t="shared" si="9"/>
        <v>87.06125999999999</v>
      </c>
      <c r="BN13" s="4">
        <f t="shared" si="57"/>
        <v>39.490987535999999</v>
      </c>
      <c r="BO13" s="4">
        <f t="shared" si="10"/>
        <v>22.602442499999999</v>
      </c>
      <c r="BP13" s="4">
        <f t="shared" si="58"/>
        <v>10.252467917999999</v>
      </c>
      <c r="BQ13" s="324">
        <f t="shared" si="11"/>
        <v>87.06125999999999</v>
      </c>
      <c r="BR13" s="324">
        <f t="shared" si="12"/>
        <v>39.490987535999999</v>
      </c>
      <c r="BS13" s="324">
        <f t="shared" si="13"/>
        <v>22.602442499999999</v>
      </c>
      <c r="BT13" s="324">
        <f t="shared" si="14"/>
        <v>10.252467917999999</v>
      </c>
      <c r="BU13" s="76" t="str">
        <f t="shared" si="15"/>
        <v>N/A</v>
      </c>
      <c r="BV13" s="111">
        <f t="shared" si="16"/>
        <v>19246.929597010974</v>
      </c>
      <c r="BW13" s="88">
        <f t="shared" si="17"/>
        <v>4651.8968367790685</v>
      </c>
      <c r="BX13" s="89">
        <f t="shared" si="18"/>
        <v>787.28652541865267</v>
      </c>
      <c r="BY13" s="89">
        <f t="shared" si="19"/>
        <v>5439.1833621977212</v>
      </c>
      <c r="BZ13" s="89">
        <f t="shared" si="20"/>
        <v>10255.504490253677</v>
      </c>
      <c r="CA13" s="89">
        <f t="shared" si="21"/>
        <v>1735.6404881363592</v>
      </c>
      <c r="CB13" s="89">
        <f t="shared" si="22"/>
        <v>11991.144978390037</v>
      </c>
      <c r="CC13" s="89">
        <f t="shared" si="23"/>
        <v>17918.417445371226</v>
      </c>
      <c r="CD13" s="89">
        <f t="shared" si="24"/>
        <v>3032.5110608718469</v>
      </c>
      <c r="CE13" s="89">
        <f t="shared" si="25"/>
        <v>20950.928506243072</v>
      </c>
      <c r="CF13" s="89">
        <f t="shared" si="26"/>
        <v>39502.683962458614</v>
      </c>
      <c r="CG13" s="89">
        <f t="shared" si="27"/>
        <v>6685.4300283770881</v>
      </c>
      <c r="CH13" s="89">
        <f t="shared" si="28"/>
        <v>46188.1139908357</v>
      </c>
      <c r="CI13" s="41" t="e">
        <f>IF(AD13&gt;0,((BC13+PV($BX$2,$CA$2,-BF13,0,0))/AD13),0)</f>
        <v>#VALUE!</v>
      </c>
      <c r="CJ13" s="41" t="e">
        <f>IF(Z13&gt;0,((BD13+PV($BX$2,$CA$2,-BG13,0,0))/Z13),0)</f>
        <v>#VALUE!</v>
      </c>
      <c r="CK13" s="41" t="e">
        <f>IF(L13&gt;0,((BC13+PV($BX$2,$CA$2,-BF13,0,0))/L13),0)</f>
        <v>#VALUE!</v>
      </c>
      <c r="CL13" s="41" t="e">
        <f>IF(AE13&gt;0,((BD13+PV($BX$2,$CA$2,-BG13,0,0))/AE13),0)</f>
        <v>#VALUE!</v>
      </c>
      <c r="CM13" s="346">
        <f t="shared" si="29"/>
        <v>4651.8968367790685</v>
      </c>
      <c r="CN13" s="204">
        <f t="shared" si="30"/>
        <v>787.28652541865267</v>
      </c>
      <c r="CO13" s="204">
        <f t="shared" si="44"/>
        <v>5439.1833621977212</v>
      </c>
      <c r="CP13" s="204">
        <f t="shared" si="31"/>
        <v>10255.504490253677</v>
      </c>
      <c r="CQ13" s="204">
        <f t="shared" si="32"/>
        <v>1735.6404881363592</v>
      </c>
      <c r="CR13" s="204">
        <f t="shared" si="45"/>
        <v>11991.144978390037</v>
      </c>
      <c r="CS13" s="204">
        <f t="shared" si="33"/>
        <v>17918.417445371226</v>
      </c>
      <c r="CT13" s="204">
        <f t="shared" si="34"/>
        <v>3032.5110608718469</v>
      </c>
      <c r="CU13" s="204">
        <f t="shared" si="46"/>
        <v>20950.928506243072</v>
      </c>
      <c r="CV13" s="204">
        <f t="shared" si="35"/>
        <v>39502.683962458614</v>
      </c>
      <c r="CW13" s="204">
        <f t="shared" si="36"/>
        <v>6685.4300283770881</v>
      </c>
      <c r="CX13" s="204">
        <f t="shared" si="47"/>
        <v>46188.1139908357</v>
      </c>
      <c r="CY13" s="525" t="s">
        <v>118</v>
      </c>
      <c r="CZ13" s="562" t="s">
        <v>57</v>
      </c>
      <c r="DA13" s="562" t="s">
        <v>57</v>
      </c>
      <c r="DB13" s="562" t="s">
        <v>331</v>
      </c>
      <c r="DC13" s="562" t="s">
        <v>56</v>
      </c>
      <c r="DD13" s="561" t="s">
        <v>440</v>
      </c>
      <c r="DE13" s="561" t="s">
        <v>87</v>
      </c>
      <c r="DF13" s="562" t="s">
        <v>56</v>
      </c>
      <c r="DG13" s="562" t="s">
        <v>56</v>
      </c>
      <c r="DH13" s="562" t="s">
        <v>56</v>
      </c>
      <c r="DI13" s="562" t="s">
        <v>56</v>
      </c>
      <c r="DJ13" s="561" t="s">
        <v>359</v>
      </c>
      <c r="DK13" s="563" t="s">
        <v>361</v>
      </c>
      <c r="DL13" s="561" t="s">
        <v>350</v>
      </c>
      <c r="DM13" s="561" t="s">
        <v>359</v>
      </c>
      <c r="DN13" s="563" t="s">
        <v>361</v>
      </c>
      <c r="DO13" s="563"/>
      <c r="DP13" s="563"/>
      <c r="DQ13" s="563"/>
      <c r="DR13" s="555" t="s">
        <v>994</v>
      </c>
      <c r="DS13" s="561" t="s">
        <v>987</v>
      </c>
      <c r="DT13" s="556"/>
      <c r="DU13" s="557"/>
      <c r="DV13" s="557"/>
      <c r="DW13" s="557"/>
      <c r="DX13" s="557"/>
      <c r="DY13" s="557"/>
      <c r="DZ13" s="557"/>
      <c r="EA13" s="557"/>
      <c r="EB13" s="557"/>
    </row>
    <row r="14" spans="1:132" s="568" customFormat="1" ht="220.5" customHeight="1" x14ac:dyDescent="0.2">
      <c r="A14" s="771"/>
      <c r="B14" s="559" t="s">
        <v>423</v>
      </c>
      <c r="C14" s="564"/>
      <c r="D14" s="565">
        <v>107</v>
      </c>
      <c r="E14" s="561" t="s">
        <v>921</v>
      </c>
      <c r="F14" s="540" t="s">
        <v>14</v>
      </c>
      <c r="G14" s="540" t="s">
        <v>113</v>
      </c>
      <c r="H14" s="540" t="s">
        <v>92</v>
      </c>
      <c r="I14" s="561" t="s">
        <v>919</v>
      </c>
      <c r="J14" s="561" t="s">
        <v>114</v>
      </c>
      <c r="K14" s="539" t="s">
        <v>581</v>
      </c>
      <c r="L14" s="540" t="s">
        <v>926</v>
      </c>
      <c r="M14" s="306">
        <v>2750</v>
      </c>
      <c r="N14" s="301">
        <v>1</v>
      </c>
      <c r="O14" s="11" t="s">
        <v>77</v>
      </c>
      <c r="P14" s="303" t="s">
        <v>77</v>
      </c>
      <c r="Q14" s="99">
        <f t="shared" ref="Q14:Q23" si="62">$T$108</f>
        <v>0</v>
      </c>
      <c r="R14" s="99">
        <f>$U$110</f>
        <v>0.3</v>
      </c>
      <c r="S14" s="4">
        <v>1</v>
      </c>
      <c r="T14" s="4">
        <v>13</v>
      </c>
      <c r="U14" s="4">
        <v>2</v>
      </c>
      <c r="V14" s="4">
        <v>21</v>
      </c>
      <c r="W14" s="189">
        <f t="shared" si="0"/>
        <v>1</v>
      </c>
      <c r="X14" s="542" t="s">
        <v>374</v>
      </c>
      <c r="Y14" s="265">
        <f t="shared" si="1"/>
        <v>0</v>
      </c>
      <c r="Z14" s="265">
        <f t="shared" si="2"/>
        <v>0</v>
      </c>
      <c r="AA14" s="145">
        <f t="shared" si="37"/>
        <v>0</v>
      </c>
      <c r="AB14" s="145">
        <f t="shared" si="38"/>
        <v>0</v>
      </c>
      <c r="AC14" s="145">
        <f t="shared" si="39"/>
        <v>0</v>
      </c>
      <c r="AD14" s="145">
        <f t="shared" si="3"/>
        <v>5.0227649999999992E-2</v>
      </c>
      <c r="AE14" s="145">
        <f t="shared" si="4"/>
        <v>0.52739032499999994</v>
      </c>
      <c r="AF14" s="145">
        <f t="shared" si="40"/>
        <v>2.2783262039999995E-2</v>
      </c>
      <c r="AG14" s="145">
        <f t="shared" si="41"/>
        <v>0.23922425141999998</v>
      </c>
      <c r="AH14" s="76">
        <v>13000</v>
      </c>
      <c r="AI14" s="76">
        <v>18000</v>
      </c>
      <c r="AJ14" s="76">
        <f t="shared" si="48"/>
        <v>15500</v>
      </c>
      <c r="AK14" s="76">
        <f t="shared" si="49"/>
        <v>13000</v>
      </c>
      <c r="AL14" s="76">
        <f t="shared" si="50"/>
        <v>18000</v>
      </c>
      <c r="AM14" s="76">
        <f t="shared" si="5"/>
        <v>15500</v>
      </c>
      <c r="AN14" s="104">
        <v>0.6</v>
      </c>
      <c r="AO14" s="76">
        <v>0</v>
      </c>
      <c r="AP14" s="76">
        <f t="shared" si="51"/>
        <v>18200</v>
      </c>
      <c r="AQ14" s="76">
        <f t="shared" si="52"/>
        <v>25200</v>
      </c>
      <c r="AR14" s="76">
        <f>(AP14+AQ14)/2</f>
        <v>21700</v>
      </c>
      <c r="AS14" s="76">
        <v>750</v>
      </c>
      <c r="AT14" s="76">
        <v>1250</v>
      </c>
      <c r="AU14" s="76">
        <f t="shared" si="59"/>
        <v>1000</v>
      </c>
      <c r="AV14" s="76">
        <f t="shared" si="54"/>
        <v>750</v>
      </c>
      <c r="AW14" s="76">
        <f t="shared" si="55"/>
        <v>1250</v>
      </c>
      <c r="AX14" s="76">
        <f t="shared" si="6"/>
        <v>1000</v>
      </c>
      <c r="AY14" s="326">
        <v>0.75</v>
      </c>
      <c r="AZ14" s="542">
        <v>0.1</v>
      </c>
      <c r="BA14" s="542">
        <v>0.1</v>
      </c>
      <c r="BB14" s="327" t="s">
        <v>424</v>
      </c>
      <c r="BC14" s="76">
        <f>AP14*(1+$AZ14)</f>
        <v>20020</v>
      </c>
      <c r="BD14" s="76">
        <f>AQ14*(1+$AZ14)</f>
        <v>27720.000000000004</v>
      </c>
      <c r="BE14" s="76">
        <f t="shared" si="42"/>
        <v>23870.000000000004</v>
      </c>
      <c r="BF14" s="76">
        <f>AV14*(1+$BA14)</f>
        <v>825.00000000000011</v>
      </c>
      <c r="BG14" s="76">
        <f>AW14*(1+$BA14)</f>
        <v>1375</v>
      </c>
      <c r="BH14" s="76">
        <f t="shared" si="7"/>
        <v>1100</v>
      </c>
      <c r="BI14" s="4">
        <v>20</v>
      </c>
      <c r="BJ14" s="76">
        <f t="shared" ref="BJ14:BJ20" si="63">BE14*0.5</f>
        <v>11935.000000000002</v>
      </c>
      <c r="BK14" s="76">
        <f t="shared" si="8"/>
        <v>11935.000000000002</v>
      </c>
      <c r="BL14" s="111">
        <f t="shared" si="43"/>
        <v>0</v>
      </c>
      <c r="BM14" s="4">
        <f t="shared" si="9"/>
        <v>0</v>
      </c>
      <c r="BN14" s="4">
        <f>BM14*0.4536</f>
        <v>0</v>
      </c>
      <c r="BO14" s="4">
        <f t="shared" si="10"/>
        <v>5.7761797499999989</v>
      </c>
      <c r="BP14" s="4">
        <f>BO14*0.4536</f>
        <v>2.6200751345999995</v>
      </c>
      <c r="BQ14" s="324">
        <f t="shared" si="11"/>
        <v>0</v>
      </c>
      <c r="BR14" s="324">
        <f t="shared" si="12"/>
        <v>0</v>
      </c>
      <c r="BS14" s="324">
        <f t="shared" si="13"/>
        <v>5.7761797499999989</v>
      </c>
      <c r="BT14" s="324">
        <f t="shared" si="14"/>
        <v>2.6200751345999995</v>
      </c>
      <c r="BU14" s="76" t="str">
        <f t="shared" si="15"/>
        <v>N/A</v>
      </c>
      <c r="BV14" s="111" t="e">
        <f t="shared" si="16"/>
        <v>#DIV/0!</v>
      </c>
      <c r="BW14" s="88">
        <f t="shared" si="17"/>
        <v>0</v>
      </c>
      <c r="BX14" s="89">
        <f t="shared" si="18"/>
        <v>0</v>
      </c>
      <c r="BY14" s="89">
        <f t="shared" si="19"/>
        <v>0</v>
      </c>
      <c r="BZ14" s="89">
        <f t="shared" si="20"/>
        <v>0</v>
      </c>
      <c r="CA14" s="89">
        <f t="shared" si="21"/>
        <v>0</v>
      </c>
      <c r="CB14" s="89">
        <f t="shared" si="22"/>
        <v>0</v>
      </c>
      <c r="CC14" s="89">
        <f t="shared" si="23"/>
        <v>4132.4891248406884</v>
      </c>
      <c r="CD14" s="89">
        <f t="shared" si="24"/>
        <v>2373.2695258997069</v>
      </c>
      <c r="CE14" s="89">
        <f t="shared" si="25"/>
        <v>6505.7586507403958</v>
      </c>
      <c r="CF14" s="89">
        <f t="shared" si="26"/>
        <v>9110.4257602307953</v>
      </c>
      <c r="CG14" s="89">
        <f t="shared" si="27"/>
        <v>5232.0756743820702</v>
      </c>
      <c r="CH14" s="89">
        <f t="shared" si="28"/>
        <v>14342.501434612866</v>
      </c>
      <c r="CI14" s="41"/>
      <c r="CJ14" s="41"/>
      <c r="CK14" s="41"/>
      <c r="CL14" s="41"/>
      <c r="CM14" s="346">
        <f t="shared" si="29"/>
        <v>0</v>
      </c>
      <c r="CN14" s="204">
        <f t="shared" si="30"/>
        <v>0</v>
      </c>
      <c r="CO14" s="204">
        <f t="shared" si="44"/>
        <v>0</v>
      </c>
      <c r="CP14" s="204">
        <f t="shared" si="31"/>
        <v>0</v>
      </c>
      <c r="CQ14" s="204">
        <f t="shared" si="32"/>
        <v>0</v>
      </c>
      <c r="CR14" s="204">
        <f t="shared" si="45"/>
        <v>0</v>
      </c>
      <c r="CS14" s="204">
        <f t="shared" si="33"/>
        <v>4132.4891248406884</v>
      </c>
      <c r="CT14" s="204">
        <f t="shared" si="34"/>
        <v>2373.2695258997069</v>
      </c>
      <c r="CU14" s="204">
        <f t="shared" si="46"/>
        <v>6505.7586507403958</v>
      </c>
      <c r="CV14" s="204">
        <f t="shared" si="35"/>
        <v>9110.4257602307953</v>
      </c>
      <c r="CW14" s="204">
        <f t="shared" si="36"/>
        <v>5232.0756743820702</v>
      </c>
      <c r="CX14" s="204">
        <f t="shared" si="47"/>
        <v>14342.501434612866</v>
      </c>
      <c r="CY14" s="525" t="s">
        <v>118</v>
      </c>
      <c r="CZ14" s="562" t="s">
        <v>57</v>
      </c>
      <c r="DA14" s="562" t="s">
        <v>57</v>
      </c>
      <c r="DB14" s="562" t="s">
        <v>333</v>
      </c>
      <c r="DC14" s="562" t="s">
        <v>57</v>
      </c>
      <c r="DD14" s="561" t="s">
        <v>115</v>
      </c>
      <c r="DE14" s="561" t="s">
        <v>116</v>
      </c>
      <c r="DF14" s="562" t="s">
        <v>56</v>
      </c>
      <c r="DG14" s="562" t="s">
        <v>56</v>
      </c>
      <c r="DH14" s="562" t="s">
        <v>57</v>
      </c>
      <c r="DI14" s="562" t="s">
        <v>56</v>
      </c>
      <c r="DJ14" s="561" t="s">
        <v>360</v>
      </c>
      <c r="DK14" s="563" t="s">
        <v>361</v>
      </c>
      <c r="DL14" s="561" t="s">
        <v>350</v>
      </c>
      <c r="DM14" s="561" t="s">
        <v>360</v>
      </c>
      <c r="DN14" s="563" t="s">
        <v>361</v>
      </c>
      <c r="DO14" s="563"/>
      <c r="DP14" s="563"/>
      <c r="DQ14" s="563"/>
      <c r="DR14" s="561" t="s">
        <v>922</v>
      </c>
      <c r="DS14" s="561" t="s">
        <v>436</v>
      </c>
      <c r="DT14" s="566"/>
      <c r="DU14" s="567"/>
      <c r="DV14" s="567"/>
      <c r="DW14" s="567"/>
      <c r="DX14" s="567"/>
      <c r="DY14" s="567"/>
      <c r="DZ14" s="567"/>
      <c r="EA14" s="567"/>
      <c r="EB14" s="567"/>
    </row>
    <row r="15" spans="1:132" s="558" customFormat="1" ht="230.25" customHeight="1" x14ac:dyDescent="0.2">
      <c r="A15" s="771"/>
      <c r="B15" s="559" t="s">
        <v>996</v>
      </c>
      <c r="C15" s="564"/>
      <c r="D15" s="569">
        <v>108</v>
      </c>
      <c r="E15" s="561" t="s">
        <v>923</v>
      </c>
      <c r="F15" s="540" t="s">
        <v>14</v>
      </c>
      <c r="G15" s="540" t="s">
        <v>113</v>
      </c>
      <c r="H15" s="540" t="s">
        <v>92</v>
      </c>
      <c r="I15" s="561" t="s">
        <v>919</v>
      </c>
      <c r="J15" s="561" t="s">
        <v>114</v>
      </c>
      <c r="K15" s="539" t="s">
        <v>582</v>
      </c>
      <c r="L15" s="540" t="s">
        <v>926</v>
      </c>
      <c r="M15" s="306">
        <v>2750</v>
      </c>
      <c r="N15" s="301">
        <v>1</v>
      </c>
      <c r="O15" s="11" t="s">
        <v>77</v>
      </c>
      <c r="P15" s="303" t="s">
        <v>77</v>
      </c>
      <c r="Q15" s="99">
        <f t="shared" si="62"/>
        <v>0</v>
      </c>
      <c r="R15" s="99">
        <f>$U$108</f>
        <v>0</v>
      </c>
      <c r="S15" s="4">
        <v>22</v>
      </c>
      <c r="T15" s="4">
        <v>68</v>
      </c>
      <c r="U15" s="4">
        <v>19</v>
      </c>
      <c r="V15" s="4">
        <v>61</v>
      </c>
      <c r="W15" s="189">
        <f t="shared" si="0"/>
        <v>1</v>
      </c>
      <c r="X15" s="542" t="s">
        <v>374</v>
      </c>
      <c r="Y15" s="265">
        <f t="shared" si="1"/>
        <v>0</v>
      </c>
      <c r="Z15" s="265">
        <f t="shared" si="2"/>
        <v>0</v>
      </c>
      <c r="AA15" s="145">
        <f t="shared" si="37"/>
        <v>0</v>
      </c>
      <c r="AB15" s="145">
        <f t="shared" si="38"/>
        <v>0</v>
      </c>
      <c r="AC15" s="145">
        <f t="shared" si="39"/>
        <v>0</v>
      </c>
      <c r="AD15" s="145">
        <f t="shared" si="3"/>
        <v>0</v>
      </c>
      <c r="AE15" s="145">
        <f t="shared" si="4"/>
        <v>0</v>
      </c>
      <c r="AF15" s="145">
        <f t="shared" si="40"/>
        <v>0</v>
      </c>
      <c r="AG15" s="145">
        <f t="shared" si="41"/>
        <v>0</v>
      </c>
      <c r="AH15" s="76">
        <v>25000</v>
      </c>
      <c r="AI15" s="76">
        <v>35000</v>
      </c>
      <c r="AJ15" s="76">
        <f t="shared" si="48"/>
        <v>30000</v>
      </c>
      <c r="AK15" s="76">
        <f t="shared" si="49"/>
        <v>25000</v>
      </c>
      <c r="AL15" s="76">
        <f t="shared" si="50"/>
        <v>35000</v>
      </c>
      <c r="AM15" s="76">
        <f t="shared" si="5"/>
        <v>30000</v>
      </c>
      <c r="AN15" s="104">
        <v>0.6</v>
      </c>
      <c r="AO15" s="76">
        <f t="shared" ref="AO15:AO20" si="64">$AA$121</f>
        <v>250000</v>
      </c>
      <c r="AP15" s="76">
        <f t="shared" si="51"/>
        <v>285000</v>
      </c>
      <c r="AQ15" s="76">
        <f t="shared" si="52"/>
        <v>299000</v>
      </c>
      <c r="AR15" s="76">
        <f>(AP15+AQ15)/2</f>
        <v>292000</v>
      </c>
      <c r="AS15" s="76">
        <v>2000</v>
      </c>
      <c r="AT15" s="76">
        <v>2800</v>
      </c>
      <c r="AU15" s="76">
        <f t="shared" si="59"/>
        <v>2400</v>
      </c>
      <c r="AV15" s="76">
        <f t="shared" si="54"/>
        <v>2000</v>
      </c>
      <c r="AW15" s="76">
        <f t="shared" si="55"/>
        <v>2800</v>
      </c>
      <c r="AX15" s="76">
        <f t="shared" si="6"/>
        <v>2400</v>
      </c>
      <c r="AY15" s="326">
        <v>0.75</v>
      </c>
      <c r="AZ15" s="542">
        <v>0.1</v>
      </c>
      <c r="BA15" s="542">
        <v>0.1</v>
      </c>
      <c r="BB15" s="327" t="s">
        <v>424</v>
      </c>
      <c r="BC15" s="76">
        <f t="shared" ref="BC15:BD20" si="65">AP15*(1+$AZ15)</f>
        <v>313500</v>
      </c>
      <c r="BD15" s="76">
        <f t="shared" si="65"/>
        <v>328900</v>
      </c>
      <c r="BE15" s="76">
        <f t="shared" si="42"/>
        <v>321200</v>
      </c>
      <c r="BF15" s="76">
        <f t="shared" ref="BF15:BG20" si="66">AV15*(1+$BA15)</f>
        <v>2200</v>
      </c>
      <c r="BG15" s="76">
        <f t="shared" si="66"/>
        <v>3080.0000000000005</v>
      </c>
      <c r="BH15" s="76">
        <f t="shared" si="7"/>
        <v>2640</v>
      </c>
      <c r="BI15" s="4">
        <v>20</v>
      </c>
      <c r="BJ15" s="76">
        <f t="shared" si="63"/>
        <v>160600</v>
      </c>
      <c r="BK15" s="76">
        <f t="shared" si="8"/>
        <v>160600</v>
      </c>
      <c r="BL15" s="111">
        <f t="shared" si="43"/>
        <v>0</v>
      </c>
      <c r="BM15" s="4">
        <f t="shared" si="9"/>
        <v>0</v>
      </c>
      <c r="BN15" s="4">
        <f>BM15*0.4536</f>
        <v>0</v>
      </c>
      <c r="BO15" s="4">
        <f t="shared" si="10"/>
        <v>0</v>
      </c>
      <c r="BP15" s="4">
        <f>BO15*0.4536</f>
        <v>0</v>
      </c>
      <c r="BQ15" s="324">
        <f t="shared" si="11"/>
        <v>0</v>
      </c>
      <c r="BR15" s="324">
        <f t="shared" si="12"/>
        <v>0</v>
      </c>
      <c r="BS15" s="324">
        <f t="shared" si="13"/>
        <v>0</v>
      </c>
      <c r="BT15" s="324">
        <f t="shared" si="14"/>
        <v>0</v>
      </c>
      <c r="BU15" s="76">
        <f t="shared" si="15"/>
        <v>354100.23530430556</v>
      </c>
      <c r="BV15" s="111" t="e">
        <f t="shared" si="16"/>
        <v>#DIV/0!</v>
      </c>
      <c r="BW15" s="88">
        <f t="shared" si="17"/>
        <v>0</v>
      </c>
      <c r="BX15" s="89">
        <f t="shared" si="18"/>
        <v>0</v>
      </c>
      <c r="BY15" s="89">
        <f t="shared" si="19"/>
        <v>0</v>
      </c>
      <c r="BZ15" s="89">
        <f t="shared" si="20"/>
        <v>0</v>
      </c>
      <c r="CA15" s="89">
        <f t="shared" si="21"/>
        <v>0</v>
      </c>
      <c r="CB15" s="89">
        <f t="shared" si="22"/>
        <v>0</v>
      </c>
      <c r="CC15" s="89">
        <f t="shared" si="23"/>
        <v>0</v>
      </c>
      <c r="CD15" s="89">
        <f t="shared" si="24"/>
        <v>0</v>
      </c>
      <c r="CE15" s="89">
        <f t="shared" si="25"/>
        <v>0</v>
      </c>
      <c r="CF15" s="89">
        <f t="shared" si="26"/>
        <v>0</v>
      </c>
      <c r="CG15" s="89">
        <f t="shared" si="27"/>
        <v>0</v>
      </c>
      <c r="CH15" s="89">
        <f t="shared" si="28"/>
        <v>0</v>
      </c>
      <c r="CI15" s="41"/>
      <c r="CJ15" s="41"/>
      <c r="CK15" s="41"/>
      <c r="CL15" s="41"/>
      <c r="CM15" s="346">
        <f t="shared" si="29"/>
        <v>0</v>
      </c>
      <c r="CN15" s="204">
        <f t="shared" si="30"/>
        <v>0</v>
      </c>
      <c r="CO15" s="204">
        <f t="shared" si="44"/>
        <v>0</v>
      </c>
      <c r="CP15" s="204">
        <f t="shared" si="31"/>
        <v>0</v>
      </c>
      <c r="CQ15" s="204">
        <f t="shared" si="32"/>
        <v>0</v>
      </c>
      <c r="CR15" s="204">
        <f t="shared" si="45"/>
        <v>0</v>
      </c>
      <c r="CS15" s="204">
        <f t="shared" si="33"/>
        <v>0</v>
      </c>
      <c r="CT15" s="204">
        <f t="shared" si="34"/>
        <v>0</v>
      </c>
      <c r="CU15" s="204">
        <f t="shared" si="46"/>
        <v>0</v>
      </c>
      <c r="CV15" s="204">
        <f t="shared" si="35"/>
        <v>0</v>
      </c>
      <c r="CW15" s="204">
        <f t="shared" si="36"/>
        <v>0</v>
      </c>
      <c r="CX15" s="204">
        <f t="shared" si="47"/>
        <v>0</v>
      </c>
      <c r="CY15" s="525" t="s">
        <v>118</v>
      </c>
      <c r="CZ15" s="562" t="s">
        <v>57</v>
      </c>
      <c r="DA15" s="562" t="s">
        <v>57</v>
      </c>
      <c r="DB15" s="562" t="s">
        <v>333</v>
      </c>
      <c r="DC15" s="562" t="s">
        <v>57</v>
      </c>
      <c r="DD15" s="561" t="s">
        <v>425</v>
      </c>
      <c r="DE15" s="561" t="s">
        <v>116</v>
      </c>
      <c r="DF15" s="562" t="s">
        <v>56</v>
      </c>
      <c r="DG15" s="562" t="s">
        <v>56</v>
      </c>
      <c r="DH15" s="562" t="s">
        <v>57</v>
      </c>
      <c r="DI15" s="562" t="s">
        <v>56</v>
      </c>
      <c r="DJ15" s="561" t="s">
        <v>360</v>
      </c>
      <c r="DK15" s="563" t="s">
        <v>361</v>
      </c>
      <c r="DL15" s="561" t="s">
        <v>350</v>
      </c>
      <c r="DM15" s="561" t="s">
        <v>360</v>
      </c>
      <c r="DN15" s="563" t="s">
        <v>361</v>
      </c>
      <c r="DO15" s="563"/>
      <c r="DP15" s="563"/>
      <c r="DQ15" s="563"/>
      <c r="DR15" s="561" t="s">
        <v>924</v>
      </c>
      <c r="DS15" s="561" t="s">
        <v>436</v>
      </c>
      <c r="DT15" s="570"/>
      <c r="DU15" s="557"/>
      <c r="DV15" s="557"/>
      <c r="DW15" s="557"/>
      <c r="DX15" s="557"/>
      <c r="DY15" s="557"/>
      <c r="DZ15" s="557"/>
      <c r="EA15" s="557"/>
      <c r="EB15" s="557"/>
    </row>
    <row r="16" spans="1:132" s="579" customFormat="1" ht="230.25" customHeight="1" x14ac:dyDescent="0.2">
      <c r="A16" s="771"/>
      <c r="B16" s="559" t="s">
        <v>925</v>
      </c>
      <c r="C16" s="571"/>
      <c r="D16" s="569">
        <v>112</v>
      </c>
      <c r="E16" s="561" t="s">
        <v>923</v>
      </c>
      <c r="F16" s="540" t="s">
        <v>14</v>
      </c>
      <c r="G16" s="538" t="s">
        <v>113</v>
      </c>
      <c r="H16" s="540" t="s">
        <v>92</v>
      </c>
      <c r="I16" s="561" t="s">
        <v>919</v>
      </c>
      <c r="J16" s="561" t="s">
        <v>114</v>
      </c>
      <c r="K16" s="572" t="s">
        <v>582</v>
      </c>
      <c r="L16" s="540" t="s">
        <v>926</v>
      </c>
      <c r="M16" s="306">
        <v>2750</v>
      </c>
      <c r="N16" s="573">
        <v>1</v>
      </c>
      <c r="O16" s="574" t="s">
        <v>77</v>
      </c>
      <c r="P16" s="303" t="s">
        <v>77</v>
      </c>
      <c r="Q16" s="99">
        <f t="shared" si="62"/>
        <v>0</v>
      </c>
      <c r="R16" s="99">
        <f t="shared" ref="R16:R23" si="67">$U$110</f>
        <v>0.3</v>
      </c>
      <c r="S16" s="4">
        <v>89</v>
      </c>
      <c r="T16" s="4">
        <v>98</v>
      </c>
      <c r="U16" s="4">
        <v>19</v>
      </c>
      <c r="V16" s="4">
        <v>61</v>
      </c>
      <c r="W16" s="575">
        <f t="shared" si="0"/>
        <v>1</v>
      </c>
      <c r="X16" s="546" t="s">
        <v>374</v>
      </c>
      <c r="Y16" s="576">
        <f t="shared" si="1"/>
        <v>0</v>
      </c>
      <c r="Z16" s="576">
        <f t="shared" si="2"/>
        <v>0</v>
      </c>
      <c r="AA16" s="436">
        <f t="shared" si="37"/>
        <v>0</v>
      </c>
      <c r="AB16" s="145">
        <f t="shared" si="38"/>
        <v>0</v>
      </c>
      <c r="AC16" s="436">
        <f t="shared" si="39"/>
        <v>0</v>
      </c>
      <c r="AD16" s="436">
        <f t="shared" si="3"/>
        <v>0.47716267499999993</v>
      </c>
      <c r="AE16" s="436">
        <f t="shared" si="4"/>
        <v>1.5319433249999999</v>
      </c>
      <c r="AF16" s="145">
        <f t="shared" si="40"/>
        <v>0.21644098937999998</v>
      </c>
      <c r="AG16" s="145">
        <f t="shared" si="41"/>
        <v>0.69488949221999996</v>
      </c>
      <c r="AH16" s="543">
        <v>25000</v>
      </c>
      <c r="AI16" s="543">
        <v>35000</v>
      </c>
      <c r="AJ16" s="543">
        <f t="shared" si="48"/>
        <v>30000</v>
      </c>
      <c r="AK16" s="543">
        <f t="shared" si="49"/>
        <v>25000</v>
      </c>
      <c r="AL16" s="543">
        <f t="shared" si="50"/>
        <v>35000</v>
      </c>
      <c r="AM16" s="76">
        <f t="shared" si="5"/>
        <v>30000</v>
      </c>
      <c r="AN16" s="544">
        <v>1.6</v>
      </c>
      <c r="AO16" s="76">
        <f t="shared" si="64"/>
        <v>250000</v>
      </c>
      <c r="AP16" s="543">
        <f t="shared" si="51"/>
        <v>285000</v>
      </c>
      <c r="AQ16" s="543">
        <f t="shared" si="52"/>
        <v>299000</v>
      </c>
      <c r="AR16" s="76">
        <f>(AP16+AQ16)/2</f>
        <v>292000</v>
      </c>
      <c r="AS16" s="543">
        <v>2000</v>
      </c>
      <c r="AT16" s="543">
        <v>2800</v>
      </c>
      <c r="AU16" s="543">
        <f t="shared" si="59"/>
        <v>2400</v>
      </c>
      <c r="AV16" s="543">
        <f t="shared" si="54"/>
        <v>2000</v>
      </c>
      <c r="AW16" s="543">
        <f t="shared" si="55"/>
        <v>2800</v>
      </c>
      <c r="AX16" s="76">
        <f>AU16*($AA$109/$AA$107)</f>
        <v>2400</v>
      </c>
      <c r="AY16" s="545">
        <v>0.75</v>
      </c>
      <c r="AZ16" s="542">
        <v>0.1</v>
      </c>
      <c r="BA16" s="542">
        <v>0.1</v>
      </c>
      <c r="BB16" s="547" t="s">
        <v>424</v>
      </c>
      <c r="BC16" s="543">
        <f t="shared" si="65"/>
        <v>313500</v>
      </c>
      <c r="BD16" s="543">
        <f t="shared" si="65"/>
        <v>328900</v>
      </c>
      <c r="BE16" s="76">
        <f t="shared" si="42"/>
        <v>321200</v>
      </c>
      <c r="BF16" s="543">
        <f t="shared" si="66"/>
        <v>2200</v>
      </c>
      <c r="BG16" s="543">
        <f t="shared" si="66"/>
        <v>3080.0000000000005</v>
      </c>
      <c r="BH16" s="76">
        <f t="shared" si="7"/>
        <v>2640</v>
      </c>
      <c r="BI16" s="4">
        <v>21</v>
      </c>
      <c r="BJ16" s="76">
        <f t="shared" si="63"/>
        <v>160600</v>
      </c>
      <c r="BK16" s="543">
        <f t="shared" si="8"/>
        <v>152952.38095238095</v>
      </c>
      <c r="BL16" s="111">
        <f t="shared" si="43"/>
        <v>-160600</v>
      </c>
      <c r="BM16" s="432">
        <f t="shared" si="9"/>
        <v>0</v>
      </c>
      <c r="BN16" s="432">
        <f>BM16*0.4536</f>
        <v>0</v>
      </c>
      <c r="BO16" s="432">
        <f t="shared" si="10"/>
        <v>20.091059999999995</v>
      </c>
      <c r="BP16" s="4">
        <f>BO16*0.4536</f>
        <v>9.1133048159999976</v>
      </c>
      <c r="BQ16" s="541">
        <f t="shared" si="11"/>
        <v>0</v>
      </c>
      <c r="BR16" s="541">
        <f t="shared" si="12"/>
        <v>0</v>
      </c>
      <c r="BS16" s="541">
        <f t="shared" si="13"/>
        <v>20.091059999999995</v>
      </c>
      <c r="BT16" s="541">
        <f t="shared" si="14"/>
        <v>9.1133048159999976</v>
      </c>
      <c r="BU16" s="543" t="str">
        <f t="shared" si="15"/>
        <v>N/A</v>
      </c>
      <c r="BV16" s="548" t="e">
        <f t="shared" si="16"/>
        <v>#DIV/0!</v>
      </c>
      <c r="BW16" s="549">
        <f t="shared" si="17"/>
        <v>0</v>
      </c>
      <c r="BX16" s="550">
        <f t="shared" si="18"/>
        <v>0</v>
      </c>
      <c r="BY16" s="89">
        <f t="shared" si="19"/>
        <v>0</v>
      </c>
      <c r="BZ16" s="89">
        <f t="shared" si="20"/>
        <v>0</v>
      </c>
      <c r="CA16" s="89">
        <f t="shared" si="21"/>
        <v>0</v>
      </c>
      <c r="CB16" s="89">
        <f t="shared" si="22"/>
        <v>0</v>
      </c>
      <c r="CC16" s="550">
        <f t="shared" si="23"/>
        <v>7993.6051159072758</v>
      </c>
      <c r="CD16" s="550">
        <f t="shared" si="24"/>
        <v>1637.5559728707979</v>
      </c>
      <c r="CE16" s="550">
        <f t="shared" si="25"/>
        <v>9631.1610887780735</v>
      </c>
      <c r="CF16" s="89">
        <f t="shared" si="26"/>
        <v>17622.586234363484</v>
      </c>
      <c r="CG16" s="89">
        <f t="shared" si="27"/>
        <v>3610.1322153236283</v>
      </c>
      <c r="CH16" s="89">
        <f t="shared" si="28"/>
        <v>21232.718449687112</v>
      </c>
      <c r="CI16" s="551"/>
      <c r="CJ16" s="551"/>
      <c r="CK16" s="551"/>
      <c r="CL16" s="551"/>
      <c r="CM16" s="552">
        <f t="shared" si="29"/>
        <v>0</v>
      </c>
      <c r="CN16" s="553">
        <f t="shared" si="30"/>
        <v>0</v>
      </c>
      <c r="CO16" s="553">
        <f t="shared" si="44"/>
        <v>0</v>
      </c>
      <c r="CP16" s="553">
        <f t="shared" si="31"/>
        <v>0</v>
      </c>
      <c r="CQ16" s="553">
        <f t="shared" si="32"/>
        <v>0</v>
      </c>
      <c r="CR16" s="553">
        <f t="shared" si="45"/>
        <v>0</v>
      </c>
      <c r="CS16" s="553">
        <f t="shared" si="33"/>
        <v>7993.6051159072758</v>
      </c>
      <c r="CT16" s="553">
        <f t="shared" si="34"/>
        <v>1637.5559728707979</v>
      </c>
      <c r="CU16" s="553">
        <f t="shared" si="46"/>
        <v>9631.1610887780735</v>
      </c>
      <c r="CV16" s="553">
        <f t="shared" si="35"/>
        <v>17622.586234363484</v>
      </c>
      <c r="CW16" s="553">
        <f t="shared" si="36"/>
        <v>3610.1322153236283</v>
      </c>
      <c r="CX16" s="553">
        <f t="shared" si="47"/>
        <v>21232.718449687112</v>
      </c>
      <c r="CY16" s="595" t="s">
        <v>118</v>
      </c>
      <c r="CZ16" s="562" t="s">
        <v>57</v>
      </c>
      <c r="DA16" s="562" t="s">
        <v>57</v>
      </c>
      <c r="DB16" s="562" t="s">
        <v>927</v>
      </c>
      <c r="DC16" s="562" t="s">
        <v>57</v>
      </c>
      <c r="DD16" s="561" t="s">
        <v>425</v>
      </c>
      <c r="DE16" s="561" t="s">
        <v>116</v>
      </c>
      <c r="DF16" s="562" t="s">
        <v>56</v>
      </c>
      <c r="DG16" s="562" t="s">
        <v>56</v>
      </c>
      <c r="DH16" s="562" t="s">
        <v>57</v>
      </c>
      <c r="DI16" s="562" t="s">
        <v>56</v>
      </c>
      <c r="DJ16" s="561" t="s">
        <v>360</v>
      </c>
      <c r="DK16" s="563" t="s">
        <v>928</v>
      </c>
      <c r="DL16" s="561" t="s">
        <v>929</v>
      </c>
      <c r="DM16" s="561" t="s">
        <v>360</v>
      </c>
      <c r="DN16" s="563" t="s">
        <v>928</v>
      </c>
      <c r="DO16" s="554"/>
      <c r="DP16" s="554"/>
      <c r="DQ16" s="554"/>
      <c r="DR16" s="561" t="s">
        <v>930</v>
      </c>
      <c r="DS16" s="561" t="s">
        <v>931</v>
      </c>
      <c r="DT16" s="577"/>
      <c r="DU16" s="578"/>
      <c r="DV16" s="578"/>
      <c r="DW16" s="578"/>
      <c r="DX16" s="578"/>
      <c r="DY16" s="578"/>
      <c r="DZ16" s="578"/>
      <c r="EA16" s="578"/>
      <c r="EB16" s="578"/>
    </row>
    <row r="17" spans="1:132" s="558" customFormat="1" ht="230.25" customHeight="1" x14ac:dyDescent="0.2">
      <c r="A17" s="771"/>
      <c r="B17" s="559" t="s">
        <v>932</v>
      </c>
      <c r="C17" s="580"/>
      <c r="D17" s="569">
        <v>113</v>
      </c>
      <c r="E17" s="561" t="s">
        <v>933</v>
      </c>
      <c r="F17" s="540" t="s">
        <v>14</v>
      </c>
      <c r="G17" s="538" t="s">
        <v>369</v>
      </c>
      <c r="H17" s="540" t="s">
        <v>90</v>
      </c>
      <c r="I17" s="561" t="s">
        <v>919</v>
      </c>
      <c r="J17" s="561" t="s">
        <v>934</v>
      </c>
      <c r="K17" s="572" t="s">
        <v>583</v>
      </c>
      <c r="L17" s="540" t="s">
        <v>926</v>
      </c>
      <c r="M17" s="306">
        <v>2750</v>
      </c>
      <c r="N17" s="573">
        <v>1</v>
      </c>
      <c r="O17" s="574" t="s">
        <v>77</v>
      </c>
      <c r="P17" s="303" t="s">
        <v>77</v>
      </c>
      <c r="Q17" s="99">
        <f t="shared" si="62"/>
        <v>0</v>
      </c>
      <c r="R17" s="99">
        <f t="shared" si="67"/>
        <v>0.3</v>
      </c>
      <c r="S17" s="4">
        <v>9</v>
      </c>
      <c r="T17" s="4">
        <v>32</v>
      </c>
      <c r="U17" s="4">
        <v>40</v>
      </c>
      <c r="V17" s="4">
        <v>65</v>
      </c>
      <c r="W17" s="189">
        <f t="shared" si="0"/>
        <v>1</v>
      </c>
      <c r="X17" s="542" t="s">
        <v>374</v>
      </c>
      <c r="Y17" s="265">
        <f t="shared" si="1"/>
        <v>0</v>
      </c>
      <c r="Z17" s="265">
        <f t="shared" si="2"/>
        <v>0</v>
      </c>
      <c r="AA17" s="145">
        <f t="shared" si="37"/>
        <v>0</v>
      </c>
      <c r="AB17" s="145">
        <f t="shared" si="38"/>
        <v>0</v>
      </c>
      <c r="AC17" s="145">
        <f t="shared" si="39"/>
        <v>0</v>
      </c>
      <c r="AD17" s="145">
        <f t="shared" si="3"/>
        <v>1.0045529999999998</v>
      </c>
      <c r="AE17" s="145">
        <f t="shared" si="4"/>
        <v>1.6323986249999998</v>
      </c>
      <c r="AF17" s="145">
        <f t="shared" si="40"/>
        <v>0.45566524079999993</v>
      </c>
      <c r="AG17" s="145">
        <f t="shared" si="41"/>
        <v>0.74045601629999991</v>
      </c>
      <c r="AH17" s="543">
        <v>75000</v>
      </c>
      <c r="AI17" s="543">
        <v>150000</v>
      </c>
      <c r="AJ17" s="543">
        <f t="shared" si="48"/>
        <v>112500</v>
      </c>
      <c r="AK17" s="543">
        <f t="shared" si="49"/>
        <v>75000</v>
      </c>
      <c r="AL17" s="543">
        <f t="shared" si="50"/>
        <v>150000</v>
      </c>
      <c r="AM17" s="76">
        <f t="shared" si="5"/>
        <v>112500</v>
      </c>
      <c r="AN17" s="544">
        <v>0.5</v>
      </c>
      <c r="AO17" s="76">
        <f t="shared" si="64"/>
        <v>250000</v>
      </c>
      <c r="AP17" s="543">
        <f t="shared" si="51"/>
        <v>355000</v>
      </c>
      <c r="AQ17" s="543">
        <f t="shared" si="52"/>
        <v>460000</v>
      </c>
      <c r="AR17" s="76">
        <f t="shared" ref="AR17:AR20" si="68">(AP17+AQ17)/2</f>
        <v>407500</v>
      </c>
      <c r="AS17" s="543">
        <v>4000</v>
      </c>
      <c r="AT17" s="543">
        <v>6000</v>
      </c>
      <c r="AU17" s="543">
        <f t="shared" si="59"/>
        <v>5000</v>
      </c>
      <c r="AV17" s="543">
        <f t="shared" si="54"/>
        <v>4000</v>
      </c>
      <c r="AW17" s="543">
        <f t="shared" si="55"/>
        <v>6000</v>
      </c>
      <c r="AX17" s="76">
        <f>AU17*($AA$109/$AA$107)</f>
        <v>5000</v>
      </c>
      <c r="AY17" s="545">
        <v>0.75</v>
      </c>
      <c r="AZ17" s="542">
        <v>0.2</v>
      </c>
      <c r="BA17" s="542">
        <v>0.1</v>
      </c>
      <c r="BB17" s="547" t="s">
        <v>292</v>
      </c>
      <c r="BC17" s="543">
        <f t="shared" si="65"/>
        <v>426000</v>
      </c>
      <c r="BD17" s="543">
        <f t="shared" si="65"/>
        <v>552000</v>
      </c>
      <c r="BE17" s="76">
        <f t="shared" si="42"/>
        <v>489000</v>
      </c>
      <c r="BF17" s="543">
        <f t="shared" si="66"/>
        <v>4400</v>
      </c>
      <c r="BG17" s="543">
        <f t="shared" si="66"/>
        <v>6600.0000000000009</v>
      </c>
      <c r="BH17" s="76">
        <f t="shared" si="7"/>
        <v>5500</v>
      </c>
      <c r="BI17" s="4">
        <v>20</v>
      </c>
      <c r="BJ17" s="76">
        <f t="shared" si="63"/>
        <v>244500</v>
      </c>
      <c r="BK17" s="543">
        <f t="shared" si="8"/>
        <v>244500</v>
      </c>
      <c r="BL17" s="111">
        <f t="shared" si="43"/>
        <v>0</v>
      </c>
      <c r="BM17" s="432">
        <f t="shared" si="9"/>
        <v>0</v>
      </c>
      <c r="BN17" s="4">
        <f>BM17*0.4536</f>
        <v>0</v>
      </c>
      <c r="BO17" s="4">
        <f t="shared" si="10"/>
        <v>26.369516249999997</v>
      </c>
      <c r="BP17" s="4">
        <f>BO17*0.4536</f>
        <v>11.961212570999999</v>
      </c>
      <c r="BQ17" s="324">
        <f t="shared" si="11"/>
        <v>0</v>
      </c>
      <c r="BR17" s="324">
        <f t="shared" si="12"/>
        <v>0</v>
      </c>
      <c r="BS17" s="324">
        <f t="shared" si="13"/>
        <v>26.369516249999997</v>
      </c>
      <c r="BT17" s="324">
        <f t="shared" si="14"/>
        <v>11.961212570999999</v>
      </c>
      <c r="BU17" s="543" t="str">
        <f t="shared" si="15"/>
        <v>N/A</v>
      </c>
      <c r="BV17" s="548" t="e">
        <f t="shared" si="16"/>
        <v>#DIV/0!</v>
      </c>
      <c r="BW17" s="549">
        <f t="shared" si="17"/>
        <v>0</v>
      </c>
      <c r="BX17" s="550">
        <f t="shared" si="18"/>
        <v>0</v>
      </c>
      <c r="BY17" s="89">
        <f t="shared" si="19"/>
        <v>0</v>
      </c>
      <c r="BZ17" s="89">
        <f t="shared" si="20"/>
        <v>0</v>
      </c>
      <c r="CA17" s="89">
        <f t="shared" si="21"/>
        <v>0</v>
      </c>
      <c r="CB17" s="89">
        <f t="shared" si="22"/>
        <v>0</v>
      </c>
      <c r="CC17" s="550">
        <f t="shared" si="23"/>
        <v>18544.139959336571</v>
      </c>
      <c r="CD17" s="550">
        <f t="shared" si="24"/>
        <v>2599.2951950330121</v>
      </c>
      <c r="CE17" s="550">
        <f t="shared" si="25"/>
        <v>21143.435154369585</v>
      </c>
      <c r="CF17" s="89">
        <f t="shared" si="26"/>
        <v>40882.142767496851</v>
      </c>
      <c r="CG17" s="89">
        <f t="shared" si="27"/>
        <v>5730.3685957517901</v>
      </c>
      <c r="CH17" s="89">
        <f t="shared" si="28"/>
        <v>46612.511363248639</v>
      </c>
      <c r="CI17" s="551">
        <f t="shared" ref="CI17:CI20" si="69">IF(Z17&gt;0,((BC17+PV($BY$2,$CB$2,-BF17,0,0))/Z17),0)</f>
        <v>0</v>
      </c>
      <c r="CJ17" s="551">
        <f t="shared" ref="CJ17:CJ20" si="70">IF(Y17&gt;0,((BD17+PV($BY$2,$CB$2,-BG17,0,0))/Y17),0)</f>
        <v>0</v>
      </c>
      <c r="CK17" s="551">
        <f t="shared" ref="CK17:CK20" si="71">IF(AE17&gt;0,((BC17+PV($BY$2,$CB$2,-BF17,0,0))/AE17),0)</f>
        <v>294556.56121198705</v>
      </c>
      <c r="CL17" s="551">
        <f t="shared" ref="CL17:CL20" si="72">IF(AD17&gt;0,((BD17+PV($BY$2,$CB$2,-BG17,0,0))/AD17),0)</f>
        <v>631375.93363492424</v>
      </c>
      <c r="CM17" s="552">
        <f t="shared" si="29"/>
        <v>0</v>
      </c>
      <c r="CN17" s="553">
        <f t="shared" si="30"/>
        <v>0</v>
      </c>
      <c r="CO17" s="553">
        <f t="shared" si="44"/>
        <v>0</v>
      </c>
      <c r="CP17" s="553">
        <f t="shared" si="31"/>
        <v>0</v>
      </c>
      <c r="CQ17" s="553">
        <f t="shared" si="32"/>
        <v>0</v>
      </c>
      <c r="CR17" s="553">
        <f t="shared" si="45"/>
        <v>0</v>
      </c>
      <c r="CS17" s="553">
        <f t="shared" si="33"/>
        <v>18544.139959336571</v>
      </c>
      <c r="CT17" s="553">
        <f t="shared" si="34"/>
        <v>2599.2951950330121</v>
      </c>
      <c r="CU17" s="553">
        <f t="shared" si="46"/>
        <v>21143.435154369585</v>
      </c>
      <c r="CV17" s="553">
        <f t="shared" si="35"/>
        <v>40882.142767496851</v>
      </c>
      <c r="CW17" s="553">
        <f t="shared" si="36"/>
        <v>5730.3685957517901</v>
      </c>
      <c r="CX17" s="553">
        <f t="shared" si="47"/>
        <v>46612.511363248639</v>
      </c>
      <c r="CY17" s="595" t="s">
        <v>118</v>
      </c>
      <c r="CZ17" s="562" t="s">
        <v>57</v>
      </c>
      <c r="DA17" s="562" t="s">
        <v>57</v>
      </c>
      <c r="DB17" s="562" t="s">
        <v>331</v>
      </c>
      <c r="DC17" s="562" t="s">
        <v>57</v>
      </c>
      <c r="DD17" s="561" t="s">
        <v>935</v>
      </c>
      <c r="DE17" s="561" t="s">
        <v>91</v>
      </c>
      <c r="DF17" s="562" t="s">
        <v>56</v>
      </c>
      <c r="DG17" s="562" t="s">
        <v>56</v>
      </c>
      <c r="DH17" s="562" t="s">
        <v>57</v>
      </c>
      <c r="DI17" s="562" t="s">
        <v>56</v>
      </c>
      <c r="DJ17" s="561" t="s">
        <v>359</v>
      </c>
      <c r="DK17" s="563" t="s">
        <v>361</v>
      </c>
      <c r="DL17" s="561" t="s">
        <v>350</v>
      </c>
      <c r="DM17" s="561" t="s">
        <v>359</v>
      </c>
      <c r="DN17" s="563" t="s">
        <v>361</v>
      </c>
      <c r="DO17" s="563"/>
      <c r="DP17" s="554"/>
      <c r="DQ17" s="554"/>
      <c r="DR17" s="561" t="s">
        <v>936</v>
      </c>
      <c r="DS17" s="561" t="s">
        <v>937</v>
      </c>
      <c r="DT17" s="570"/>
      <c r="DU17" s="557"/>
      <c r="DV17" s="557"/>
      <c r="DW17" s="557"/>
      <c r="DX17" s="557"/>
      <c r="DY17" s="557"/>
      <c r="DZ17" s="557"/>
      <c r="EA17" s="557"/>
      <c r="EB17" s="557"/>
    </row>
    <row r="18" spans="1:132" s="558" customFormat="1" ht="242.45" customHeight="1" x14ac:dyDescent="0.2">
      <c r="A18" s="771"/>
      <c r="B18" s="559" t="s">
        <v>997</v>
      </c>
      <c r="C18" s="536"/>
      <c r="D18" s="560">
        <v>109</v>
      </c>
      <c r="E18" s="561" t="s">
        <v>933</v>
      </c>
      <c r="F18" s="540" t="s">
        <v>14</v>
      </c>
      <c r="G18" s="540" t="s">
        <v>369</v>
      </c>
      <c r="H18" s="540" t="s">
        <v>90</v>
      </c>
      <c r="I18" s="561" t="s">
        <v>919</v>
      </c>
      <c r="J18" s="561" t="s">
        <v>488</v>
      </c>
      <c r="K18" s="539" t="s">
        <v>583</v>
      </c>
      <c r="L18" s="540" t="s">
        <v>926</v>
      </c>
      <c r="M18" s="306">
        <v>2750</v>
      </c>
      <c r="N18" s="301">
        <v>1</v>
      </c>
      <c r="O18" s="11" t="s">
        <v>77</v>
      </c>
      <c r="P18" s="303" t="s">
        <v>77</v>
      </c>
      <c r="Q18" s="99">
        <f t="shared" si="62"/>
        <v>0</v>
      </c>
      <c r="R18" s="99">
        <f t="shared" si="67"/>
        <v>0.3</v>
      </c>
      <c r="S18" s="4">
        <v>9</v>
      </c>
      <c r="T18" s="4">
        <v>32</v>
      </c>
      <c r="U18" s="4">
        <v>90</v>
      </c>
      <c r="V18" s="4">
        <v>95</v>
      </c>
      <c r="W18" s="189">
        <f t="shared" si="0"/>
        <v>1</v>
      </c>
      <c r="X18" s="542" t="s">
        <v>374</v>
      </c>
      <c r="Y18" s="265">
        <f t="shared" si="1"/>
        <v>0</v>
      </c>
      <c r="Z18" s="265">
        <f t="shared" si="2"/>
        <v>0</v>
      </c>
      <c r="AA18" s="145">
        <f t="shared" si="37"/>
        <v>0</v>
      </c>
      <c r="AB18" s="145">
        <f t="shared" si="38"/>
        <v>0</v>
      </c>
      <c r="AC18" s="145">
        <f t="shared" si="39"/>
        <v>0</v>
      </c>
      <c r="AD18" s="145">
        <f t="shared" si="3"/>
        <v>2.26024425</v>
      </c>
      <c r="AE18" s="145">
        <f t="shared" si="4"/>
        <v>2.3858133749999992</v>
      </c>
      <c r="AF18" s="145">
        <f t="shared" si="40"/>
        <v>1.0252467917999999</v>
      </c>
      <c r="AG18" s="145">
        <f t="shared" si="41"/>
        <v>1.0822049468999997</v>
      </c>
      <c r="AH18" s="76">
        <v>75000</v>
      </c>
      <c r="AI18" s="76">
        <v>150000</v>
      </c>
      <c r="AJ18" s="76">
        <f t="shared" si="48"/>
        <v>112500</v>
      </c>
      <c r="AK18" s="76">
        <f t="shared" si="49"/>
        <v>75000</v>
      </c>
      <c r="AL18" s="76">
        <f t="shared" si="50"/>
        <v>150000</v>
      </c>
      <c r="AM18" s="76">
        <f t="shared" si="5"/>
        <v>112500</v>
      </c>
      <c r="AN18" s="104">
        <v>0.5</v>
      </c>
      <c r="AO18" s="76">
        <f t="shared" si="64"/>
        <v>250000</v>
      </c>
      <c r="AP18" s="76">
        <f t="shared" si="51"/>
        <v>355000</v>
      </c>
      <c r="AQ18" s="76">
        <f t="shared" si="52"/>
        <v>460000</v>
      </c>
      <c r="AR18" s="76">
        <f t="shared" si="68"/>
        <v>407500</v>
      </c>
      <c r="AS18" s="76">
        <v>4000</v>
      </c>
      <c r="AT18" s="76">
        <v>6000</v>
      </c>
      <c r="AU18" s="76">
        <f t="shared" si="59"/>
        <v>5000</v>
      </c>
      <c r="AV18" s="76">
        <f t="shared" si="54"/>
        <v>4000</v>
      </c>
      <c r="AW18" s="76">
        <f t="shared" si="55"/>
        <v>6000</v>
      </c>
      <c r="AX18" s="76">
        <f>AU18*($AA$109/$AA$107)</f>
        <v>5000</v>
      </c>
      <c r="AY18" s="326">
        <v>0.75</v>
      </c>
      <c r="AZ18" s="542">
        <v>0.2</v>
      </c>
      <c r="BA18" s="542">
        <v>0.1</v>
      </c>
      <c r="BB18" s="327" t="s">
        <v>292</v>
      </c>
      <c r="BC18" s="76">
        <f t="shared" si="65"/>
        <v>426000</v>
      </c>
      <c r="BD18" s="76">
        <f t="shared" si="65"/>
        <v>552000</v>
      </c>
      <c r="BE18" s="76">
        <f t="shared" si="42"/>
        <v>489000</v>
      </c>
      <c r="BF18" s="76">
        <f t="shared" si="66"/>
        <v>4400</v>
      </c>
      <c r="BG18" s="76">
        <f t="shared" si="66"/>
        <v>6600.0000000000009</v>
      </c>
      <c r="BH18" s="76">
        <f t="shared" si="7"/>
        <v>5500</v>
      </c>
      <c r="BI18" s="4">
        <v>20</v>
      </c>
      <c r="BJ18" s="76">
        <f t="shared" si="63"/>
        <v>244500</v>
      </c>
      <c r="BK18" s="76">
        <f t="shared" si="8"/>
        <v>244500</v>
      </c>
      <c r="BL18" s="111">
        <f t="shared" si="43"/>
        <v>0</v>
      </c>
      <c r="BM18" s="4">
        <f t="shared" si="9"/>
        <v>0</v>
      </c>
      <c r="BN18" s="4">
        <f t="shared" ref="BN18:BN20" si="73">BM18*0.4536</f>
        <v>0</v>
      </c>
      <c r="BO18" s="4">
        <f t="shared" si="10"/>
        <v>46.460576249999988</v>
      </c>
      <c r="BP18" s="4">
        <f t="shared" ref="BP18:BP20" si="74">BO18*0.4536</f>
        <v>21.074517386999993</v>
      </c>
      <c r="BQ18" s="324">
        <f t="shared" si="11"/>
        <v>0</v>
      </c>
      <c r="BR18" s="324">
        <f t="shared" si="12"/>
        <v>0</v>
      </c>
      <c r="BS18" s="324">
        <f t="shared" si="13"/>
        <v>46.460576249999988</v>
      </c>
      <c r="BT18" s="324">
        <f t="shared" si="14"/>
        <v>21.074517386999993</v>
      </c>
      <c r="BU18" s="76" t="str">
        <f t="shared" si="15"/>
        <v>N/A</v>
      </c>
      <c r="BV18" s="111" t="e">
        <f t="shared" si="16"/>
        <v>#DIV/0!</v>
      </c>
      <c r="BW18" s="88">
        <f t="shared" si="17"/>
        <v>0</v>
      </c>
      <c r="BX18" s="89">
        <f t="shared" si="18"/>
        <v>0</v>
      </c>
      <c r="BY18" s="89">
        <f t="shared" si="19"/>
        <v>0</v>
      </c>
      <c r="BZ18" s="89">
        <f t="shared" si="20"/>
        <v>0</v>
      </c>
      <c r="CA18" s="89">
        <f t="shared" si="21"/>
        <v>0</v>
      </c>
      <c r="CB18" s="89">
        <f t="shared" si="22"/>
        <v>0</v>
      </c>
      <c r="CC18" s="89">
        <f t="shared" si="23"/>
        <v>10525.052409353191</v>
      </c>
      <c r="CD18" s="89">
        <f t="shared" si="24"/>
        <v>1475.2756512349529</v>
      </c>
      <c r="CE18" s="89">
        <f t="shared" si="25"/>
        <v>12000.328060588145</v>
      </c>
      <c r="CF18" s="89">
        <f t="shared" si="26"/>
        <v>23203.378327498216</v>
      </c>
      <c r="CG18" s="89">
        <f t="shared" si="27"/>
        <v>3252.3713651564221</v>
      </c>
      <c r="CH18" s="89">
        <f t="shared" si="28"/>
        <v>26455.749692654637</v>
      </c>
      <c r="CI18" s="41">
        <f t="shared" si="69"/>
        <v>0</v>
      </c>
      <c r="CJ18" s="41">
        <f t="shared" si="70"/>
        <v>0</v>
      </c>
      <c r="CK18" s="41">
        <f t="shared" si="71"/>
        <v>201538.69977662276</v>
      </c>
      <c r="CL18" s="41">
        <f t="shared" si="72"/>
        <v>280611.52605996624</v>
      </c>
      <c r="CM18" s="346">
        <f t="shared" si="29"/>
        <v>0</v>
      </c>
      <c r="CN18" s="204">
        <f t="shared" si="30"/>
        <v>0</v>
      </c>
      <c r="CO18" s="204">
        <f t="shared" si="44"/>
        <v>0</v>
      </c>
      <c r="CP18" s="204">
        <f t="shared" si="31"/>
        <v>0</v>
      </c>
      <c r="CQ18" s="204">
        <f t="shared" si="32"/>
        <v>0</v>
      </c>
      <c r="CR18" s="204">
        <f t="shared" si="45"/>
        <v>0</v>
      </c>
      <c r="CS18" s="204">
        <f t="shared" si="33"/>
        <v>10525.052409353191</v>
      </c>
      <c r="CT18" s="204">
        <f t="shared" si="34"/>
        <v>1475.2756512349529</v>
      </c>
      <c r="CU18" s="204">
        <f t="shared" si="46"/>
        <v>12000.328060588145</v>
      </c>
      <c r="CV18" s="204">
        <f t="shared" si="35"/>
        <v>23203.378327498216</v>
      </c>
      <c r="CW18" s="204">
        <f t="shared" si="36"/>
        <v>3252.3713651564221</v>
      </c>
      <c r="CX18" s="204">
        <f t="shared" si="47"/>
        <v>26455.749692654637</v>
      </c>
      <c r="CY18" s="525" t="s">
        <v>118</v>
      </c>
      <c r="CZ18" s="562" t="s">
        <v>57</v>
      </c>
      <c r="DA18" s="562" t="s">
        <v>57</v>
      </c>
      <c r="DB18" s="562" t="s">
        <v>331</v>
      </c>
      <c r="DC18" s="562" t="s">
        <v>57</v>
      </c>
      <c r="DD18" s="561" t="s">
        <v>935</v>
      </c>
      <c r="DE18" s="561" t="s">
        <v>91</v>
      </c>
      <c r="DF18" s="562" t="s">
        <v>56</v>
      </c>
      <c r="DG18" s="562" t="s">
        <v>56</v>
      </c>
      <c r="DH18" s="562" t="s">
        <v>57</v>
      </c>
      <c r="DI18" s="562" t="s">
        <v>56</v>
      </c>
      <c r="DJ18" s="561" t="s">
        <v>359</v>
      </c>
      <c r="DK18" s="563" t="s">
        <v>361</v>
      </c>
      <c r="DL18" s="561" t="s">
        <v>350</v>
      </c>
      <c r="DM18" s="561" t="s">
        <v>359</v>
      </c>
      <c r="DN18" s="563" t="s">
        <v>361</v>
      </c>
      <c r="DO18" s="563"/>
      <c r="DP18" s="563"/>
      <c r="DQ18" s="563"/>
      <c r="DR18" s="581" t="s">
        <v>938</v>
      </c>
      <c r="DS18" s="561" t="s">
        <v>939</v>
      </c>
      <c r="DT18" s="556"/>
      <c r="DU18" s="557"/>
      <c r="DV18" s="557"/>
      <c r="DW18" s="557"/>
      <c r="DX18" s="557"/>
      <c r="DY18" s="557"/>
      <c r="DZ18" s="557"/>
      <c r="EA18" s="557"/>
      <c r="EB18" s="557"/>
    </row>
    <row r="19" spans="1:132" s="558" customFormat="1" ht="253.15" customHeight="1" x14ac:dyDescent="0.2">
      <c r="A19" s="771"/>
      <c r="B19" s="559" t="s">
        <v>940</v>
      </c>
      <c r="C19" s="536"/>
      <c r="D19" s="560">
        <v>114</v>
      </c>
      <c r="E19" s="561" t="s">
        <v>933</v>
      </c>
      <c r="F19" s="540" t="s">
        <v>14</v>
      </c>
      <c r="G19" s="540" t="s">
        <v>941</v>
      </c>
      <c r="H19" s="540" t="s">
        <v>90</v>
      </c>
      <c r="I19" s="561" t="s">
        <v>919</v>
      </c>
      <c r="J19" s="561" t="s">
        <v>488</v>
      </c>
      <c r="K19" s="539" t="s">
        <v>583</v>
      </c>
      <c r="L19" s="540" t="s">
        <v>926</v>
      </c>
      <c r="M19" s="306">
        <v>2750</v>
      </c>
      <c r="N19" s="301">
        <v>1</v>
      </c>
      <c r="O19" s="11" t="s">
        <v>77</v>
      </c>
      <c r="P19" s="303" t="s">
        <v>77</v>
      </c>
      <c r="Q19" s="99">
        <f t="shared" si="62"/>
        <v>0</v>
      </c>
      <c r="R19" s="99">
        <f t="shared" si="67"/>
        <v>0.3</v>
      </c>
      <c r="S19" s="4">
        <v>9</v>
      </c>
      <c r="T19" s="4">
        <v>32</v>
      </c>
      <c r="U19" s="4">
        <v>89</v>
      </c>
      <c r="V19" s="4">
        <v>98</v>
      </c>
      <c r="W19" s="189">
        <f t="shared" si="0"/>
        <v>1</v>
      </c>
      <c r="X19" s="542" t="s">
        <v>373</v>
      </c>
      <c r="Y19" s="265">
        <f t="shared" si="1"/>
        <v>0</v>
      </c>
      <c r="Z19" s="265">
        <f t="shared" si="2"/>
        <v>0</v>
      </c>
      <c r="AA19" s="145">
        <f t="shared" si="37"/>
        <v>0</v>
      </c>
      <c r="AB19" s="145">
        <f t="shared" si="38"/>
        <v>0</v>
      </c>
      <c r="AC19" s="145">
        <f t="shared" si="39"/>
        <v>0</v>
      </c>
      <c r="AD19" s="145">
        <f t="shared" si="3"/>
        <v>2.2351304249999999</v>
      </c>
      <c r="AE19" s="145">
        <f t="shared" si="4"/>
        <v>2.4611548499999993</v>
      </c>
      <c r="AF19" s="145">
        <f t="shared" si="40"/>
        <v>1.0138551607799999</v>
      </c>
      <c r="AG19" s="145">
        <f t="shared" si="41"/>
        <v>1.1163798399599998</v>
      </c>
      <c r="AH19" s="76">
        <v>75000</v>
      </c>
      <c r="AI19" s="76">
        <v>150000</v>
      </c>
      <c r="AJ19" s="76">
        <f t="shared" si="48"/>
        <v>112500</v>
      </c>
      <c r="AK19" s="76">
        <f t="shared" si="49"/>
        <v>75000</v>
      </c>
      <c r="AL19" s="76">
        <f t="shared" si="50"/>
        <v>150000</v>
      </c>
      <c r="AM19" s="76">
        <f t="shared" si="5"/>
        <v>112500</v>
      </c>
      <c r="AN19" s="104">
        <v>1.5</v>
      </c>
      <c r="AO19" s="76">
        <f t="shared" si="64"/>
        <v>250000</v>
      </c>
      <c r="AP19" s="76">
        <f t="shared" si="51"/>
        <v>355000</v>
      </c>
      <c r="AQ19" s="76">
        <f t="shared" si="52"/>
        <v>460000</v>
      </c>
      <c r="AR19" s="76">
        <f t="shared" si="68"/>
        <v>407500</v>
      </c>
      <c r="AS19" s="76">
        <v>4000</v>
      </c>
      <c r="AT19" s="76">
        <v>6000</v>
      </c>
      <c r="AU19" s="76">
        <f t="shared" si="59"/>
        <v>5000</v>
      </c>
      <c r="AV19" s="76">
        <f t="shared" si="54"/>
        <v>4000</v>
      </c>
      <c r="AW19" s="76">
        <f t="shared" si="55"/>
        <v>6000</v>
      </c>
      <c r="AX19" s="76">
        <f>AU19*($AA$109/$AA$107)</f>
        <v>5000</v>
      </c>
      <c r="AY19" s="326">
        <v>0.75</v>
      </c>
      <c r="AZ19" s="542">
        <v>0.2</v>
      </c>
      <c r="BA19" s="542">
        <v>0.1</v>
      </c>
      <c r="BB19" s="327" t="s">
        <v>292</v>
      </c>
      <c r="BC19" s="76">
        <f t="shared" si="65"/>
        <v>426000</v>
      </c>
      <c r="BD19" s="76">
        <f t="shared" si="65"/>
        <v>552000</v>
      </c>
      <c r="BE19" s="76">
        <f t="shared" si="42"/>
        <v>489000</v>
      </c>
      <c r="BF19" s="76">
        <f t="shared" si="66"/>
        <v>4400</v>
      </c>
      <c r="BG19" s="76">
        <f t="shared" si="66"/>
        <v>6600.0000000000009</v>
      </c>
      <c r="BH19" s="76">
        <f t="shared" si="7"/>
        <v>5500</v>
      </c>
      <c r="BI19" s="4">
        <v>21</v>
      </c>
      <c r="BJ19" s="76">
        <f t="shared" si="63"/>
        <v>244500</v>
      </c>
      <c r="BK19" s="76">
        <f t="shared" si="8"/>
        <v>232857.14285714284</v>
      </c>
      <c r="BL19" s="111">
        <f t="shared" si="43"/>
        <v>-244500</v>
      </c>
      <c r="BM19" s="4">
        <f t="shared" si="9"/>
        <v>0</v>
      </c>
      <c r="BN19" s="4">
        <f t="shared" si="73"/>
        <v>0</v>
      </c>
      <c r="BO19" s="4">
        <f t="shared" si="10"/>
        <v>46.962852749999996</v>
      </c>
      <c r="BP19" s="4">
        <f t="shared" si="74"/>
        <v>21.302350007399998</v>
      </c>
      <c r="BQ19" s="324">
        <f t="shared" si="11"/>
        <v>0</v>
      </c>
      <c r="BR19" s="324">
        <f t="shared" si="12"/>
        <v>0</v>
      </c>
      <c r="BS19" s="324">
        <f t="shared" si="13"/>
        <v>46.962852749999996</v>
      </c>
      <c r="BT19" s="324">
        <f t="shared" si="14"/>
        <v>21.302350007399998</v>
      </c>
      <c r="BU19" s="76" t="str">
        <f t="shared" si="15"/>
        <v>N/A</v>
      </c>
      <c r="BV19" s="111" t="e">
        <f t="shared" si="16"/>
        <v>#DIV/0!</v>
      </c>
      <c r="BW19" s="88">
        <f t="shared" si="17"/>
        <v>0</v>
      </c>
      <c r="BX19" s="89">
        <f t="shared" si="18"/>
        <v>0</v>
      </c>
      <c r="BY19" s="89">
        <f t="shared" si="19"/>
        <v>0</v>
      </c>
      <c r="BZ19" s="89">
        <f t="shared" si="20"/>
        <v>0</v>
      </c>
      <c r="CA19" s="89">
        <f t="shared" si="21"/>
        <v>0</v>
      </c>
      <c r="CB19" s="89">
        <f t="shared" si="22"/>
        <v>0</v>
      </c>
      <c r="CC19" s="89">
        <f t="shared" si="23"/>
        <v>5206.2425019527809</v>
      </c>
      <c r="CD19" s="89">
        <f t="shared" si="24"/>
        <v>1459.4973020238835</v>
      </c>
      <c r="CE19" s="89">
        <f t="shared" si="25"/>
        <v>6665.7398039766649</v>
      </c>
      <c r="CF19" s="89">
        <f t="shared" si="26"/>
        <v>11477.606926703662</v>
      </c>
      <c r="CG19" s="89">
        <f t="shared" si="27"/>
        <v>3217.5866446734649</v>
      </c>
      <c r="CH19" s="89">
        <f t="shared" si="28"/>
        <v>14695.193571377127</v>
      </c>
      <c r="CI19" s="41">
        <f t="shared" si="69"/>
        <v>0</v>
      </c>
      <c r="CJ19" s="41">
        <f t="shared" si="70"/>
        <v>0</v>
      </c>
      <c r="CK19" s="41">
        <f t="shared" si="71"/>
        <v>195369.14774264451</v>
      </c>
      <c r="CL19" s="41">
        <f t="shared" si="72"/>
        <v>283764.46455502207</v>
      </c>
      <c r="CM19" s="346">
        <f t="shared" si="29"/>
        <v>0</v>
      </c>
      <c r="CN19" s="204">
        <f t="shared" si="30"/>
        <v>0</v>
      </c>
      <c r="CO19" s="204">
        <f t="shared" si="44"/>
        <v>0</v>
      </c>
      <c r="CP19" s="204">
        <f t="shared" si="31"/>
        <v>0</v>
      </c>
      <c r="CQ19" s="204">
        <f t="shared" si="32"/>
        <v>0</v>
      </c>
      <c r="CR19" s="204">
        <f t="shared" si="45"/>
        <v>0</v>
      </c>
      <c r="CS19" s="204">
        <f t="shared" si="33"/>
        <v>5206.2425019527809</v>
      </c>
      <c r="CT19" s="204">
        <f t="shared" si="34"/>
        <v>1459.4973020238835</v>
      </c>
      <c r="CU19" s="204">
        <f t="shared" si="46"/>
        <v>6665.7398039766649</v>
      </c>
      <c r="CV19" s="204">
        <f t="shared" si="35"/>
        <v>11477.606926703662</v>
      </c>
      <c r="CW19" s="204">
        <f t="shared" si="36"/>
        <v>3217.5866446734649</v>
      </c>
      <c r="CX19" s="204">
        <f t="shared" si="47"/>
        <v>14695.193571377127</v>
      </c>
      <c r="CY19" s="525" t="s">
        <v>118</v>
      </c>
      <c r="CZ19" s="562" t="s">
        <v>57</v>
      </c>
      <c r="DA19" s="562" t="s">
        <v>57</v>
      </c>
      <c r="DB19" s="562" t="s">
        <v>942</v>
      </c>
      <c r="DC19" s="562" t="s">
        <v>57</v>
      </c>
      <c r="DD19" s="561" t="s">
        <v>935</v>
      </c>
      <c r="DE19" s="561" t="s">
        <v>91</v>
      </c>
      <c r="DF19" s="562" t="s">
        <v>56</v>
      </c>
      <c r="DG19" s="562" t="s">
        <v>56</v>
      </c>
      <c r="DH19" s="562" t="s">
        <v>57</v>
      </c>
      <c r="DI19" s="562" t="s">
        <v>56</v>
      </c>
      <c r="DJ19" s="561" t="s">
        <v>359</v>
      </c>
      <c r="DK19" s="563" t="s">
        <v>928</v>
      </c>
      <c r="DL19" s="561" t="s">
        <v>929</v>
      </c>
      <c r="DM19" s="561" t="s">
        <v>359</v>
      </c>
      <c r="DN19" s="563" t="s">
        <v>928</v>
      </c>
      <c r="DO19" s="563"/>
      <c r="DP19" s="563"/>
      <c r="DQ19" s="563"/>
      <c r="DR19" s="581" t="s">
        <v>938</v>
      </c>
      <c r="DS19" s="561" t="s">
        <v>939</v>
      </c>
      <c r="DT19" s="556"/>
      <c r="DU19" s="557"/>
      <c r="DV19" s="557"/>
      <c r="DW19" s="557"/>
      <c r="DX19" s="557"/>
      <c r="DY19" s="557"/>
      <c r="DZ19" s="557"/>
      <c r="EA19" s="557"/>
      <c r="EB19" s="557"/>
    </row>
    <row r="20" spans="1:132" s="558" customFormat="1" ht="254.45" customHeight="1" x14ac:dyDescent="0.2">
      <c r="A20" s="771"/>
      <c r="B20" s="559" t="s">
        <v>943</v>
      </c>
      <c r="C20" s="536"/>
      <c r="D20" s="560">
        <v>115</v>
      </c>
      <c r="E20" s="561" t="s">
        <v>933</v>
      </c>
      <c r="F20" s="540" t="s">
        <v>14</v>
      </c>
      <c r="G20" s="538" t="s">
        <v>941</v>
      </c>
      <c r="H20" s="540" t="s">
        <v>90</v>
      </c>
      <c r="I20" s="561" t="s">
        <v>919</v>
      </c>
      <c r="J20" s="561" t="s">
        <v>488</v>
      </c>
      <c r="K20" s="572" t="s">
        <v>583</v>
      </c>
      <c r="L20" s="540" t="s">
        <v>926</v>
      </c>
      <c r="M20" s="306">
        <v>2750</v>
      </c>
      <c r="N20" s="573">
        <v>1</v>
      </c>
      <c r="O20" s="574" t="s">
        <v>77</v>
      </c>
      <c r="P20" s="303" t="s">
        <v>77</v>
      </c>
      <c r="Q20" s="99">
        <f t="shared" si="62"/>
        <v>0</v>
      </c>
      <c r="R20" s="99">
        <f t="shared" si="67"/>
        <v>0.3</v>
      </c>
      <c r="S20" s="4">
        <v>32</v>
      </c>
      <c r="T20" s="4">
        <v>75</v>
      </c>
      <c r="U20" s="4">
        <v>19</v>
      </c>
      <c r="V20" s="4">
        <v>76</v>
      </c>
      <c r="W20" s="575">
        <f t="shared" si="0"/>
        <v>1</v>
      </c>
      <c r="X20" s="546" t="s">
        <v>373</v>
      </c>
      <c r="Y20" s="576">
        <f t="shared" si="1"/>
        <v>0</v>
      </c>
      <c r="Z20" s="576">
        <f t="shared" si="2"/>
        <v>0</v>
      </c>
      <c r="AA20" s="145">
        <f t="shared" si="37"/>
        <v>0</v>
      </c>
      <c r="AB20" s="145">
        <f t="shared" si="38"/>
        <v>0</v>
      </c>
      <c r="AC20" s="145">
        <f t="shared" si="39"/>
        <v>0</v>
      </c>
      <c r="AD20" s="436">
        <f t="shared" si="3"/>
        <v>0.47716267499999993</v>
      </c>
      <c r="AE20" s="436">
        <f t="shared" si="4"/>
        <v>1.9086506999999997</v>
      </c>
      <c r="AF20" s="145">
        <f t="shared" si="40"/>
        <v>0.21644098937999998</v>
      </c>
      <c r="AG20" s="145">
        <f t="shared" si="41"/>
        <v>0.8657639575199999</v>
      </c>
      <c r="AH20" s="76">
        <v>75000</v>
      </c>
      <c r="AI20" s="76">
        <v>150000</v>
      </c>
      <c r="AJ20" s="76">
        <f t="shared" si="48"/>
        <v>112500</v>
      </c>
      <c r="AK20" s="76">
        <f t="shared" si="49"/>
        <v>75000</v>
      </c>
      <c r="AL20" s="76">
        <f t="shared" si="50"/>
        <v>150000</v>
      </c>
      <c r="AM20" s="76">
        <f t="shared" si="5"/>
        <v>112500</v>
      </c>
      <c r="AN20" s="104">
        <v>1.5</v>
      </c>
      <c r="AO20" s="76">
        <f t="shared" si="64"/>
        <v>250000</v>
      </c>
      <c r="AP20" s="76">
        <f t="shared" si="51"/>
        <v>355000</v>
      </c>
      <c r="AQ20" s="76">
        <f t="shared" si="52"/>
        <v>460000</v>
      </c>
      <c r="AR20" s="76">
        <f t="shared" si="68"/>
        <v>407500</v>
      </c>
      <c r="AS20" s="76">
        <v>4000</v>
      </c>
      <c r="AT20" s="76">
        <v>6000</v>
      </c>
      <c r="AU20" s="76">
        <f t="shared" si="59"/>
        <v>5000</v>
      </c>
      <c r="AV20" s="76">
        <f t="shared" si="54"/>
        <v>4000</v>
      </c>
      <c r="AW20" s="76">
        <f t="shared" si="55"/>
        <v>6000</v>
      </c>
      <c r="AX20" s="76">
        <f>AU20*($AA$109/$AA$107)</f>
        <v>5000</v>
      </c>
      <c r="AY20" s="326">
        <v>0.75</v>
      </c>
      <c r="AZ20" s="542">
        <v>0.2</v>
      </c>
      <c r="BA20" s="542">
        <v>0.1</v>
      </c>
      <c r="BB20" s="327" t="s">
        <v>292</v>
      </c>
      <c r="BC20" s="76">
        <f t="shared" si="65"/>
        <v>426000</v>
      </c>
      <c r="BD20" s="76">
        <f t="shared" si="65"/>
        <v>552000</v>
      </c>
      <c r="BE20" s="76">
        <f t="shared" si="42"/>
        <v>489000</v>
      </c>
      <c r="BF20" s="76">
        <f t="shared" si="66"/>
        <v>4400</v>
      </c>
      <c r="BG20" s="76">
        <f t="shared" si="66"/>
        <v>6600.0000000000009</v>
      </c>
      <c r="BH20" s="76">
        <f t="shared" si="7"/>
        <v>5500</v>
      </c>
      <c r="BI20" s="4">
        <v>21</v>
      </c>
      <c r="BJ20" s="76">
        <f t="shared" si="63"/>
        <v>244500</v>
      </c>
      <c r="BK20" s="76">
        <f t="shared" si="8"/>
        <v>232857.14285714284</v>
      </c>
      <c r="BL20" s="111">
        <f t="shared" si="43"/>
        <v>-244500</v>
      </c>
      <c r="BM20" s="4">
        <f t="shared" si="9"/>
        <v>0</v>
      </c>
      <c r="BN20" s="4">
        <f t="shared" si="73"/>
        <v>0</v>
      </c>
      <c r="BO20" s="4">
        <f t="shared" si="10"/>
        <v>23.858133749999997</v>
      </c>
      <c r="BP20" s="4">
        <f t="shared" si="74"/>
        <v>10.822049468999998</v>
      </c>
      <c r="BQ20" s="324">
        <f t="shared" si="11"/>
        <v>0</v>
      </c>
      <c r="BR20" s="324">
        <f t="shared" si="12"/>
        <v>0</v>
      </c>
      <c r="BS20" s="324">
        <f t="shared" si="13"/>
        <v>23.858133749999997</v>
      </c>
      <c r="BT20" s="324">
        <f t="shared" si="14"/>
        <v>10.822049468999998</v>
      </c>
      <c r="BU20" s="76" t="str">
        <f t="shared" si="15"/>
        <v>N/A</v>
      </c>
      <c r="BV20" s="111" t="e">
        <f t="shared" si="16"/>
        <v>#DIV/0!</v>
      </c>
      <c r="BW20" s="88">
        <f t="shared" si="17"/>
        <v>0</v>
      </c>
      <c r="BX20" s="89">
        <f t="shared" si="18"/>
        <v>0</v>
      </c>
      <c r="BY20" s="89">
        <f t="shared" si="19"/>
        <v>0</v>
      </c>
      <c r="BZ20" s="89">
        <f t="shared" si="20"/>
        <v>0</v>
      </c>
      <c r="CA20" s="89">
        <f t="shared" si="21"/>
        <v>0</v>
      </c>
      <c r="CB20" s="89">
        <f t="shared" si="22"/>
        <v>0</v>
      </c>
      <c r="CC20" s="89">
        <f t="shared" si="23"/>
        <v>10248.077345949157</v>
      </c>
      <c r="CD20" s="89">
        <f t="shared" si="24"/>
        <v>2872.9052155628028</v>
      </c>
      <c r="CE20" s="89">
        <f t="shared" si="25"/>
        <v>13120.982561511961</v>
      </c>
      <c r="CF20" s="89">
        <f t="shared" si="26"/>
        <v>22592.763108353523</v>
      </c>
      <c r="CG20" s="89">
        <f t="shared" si="27"/>
        <v>6333.5652900414525</v>
      </c>
      <c r="CH20" s="89">
        <f t="shared" si="28"/>
        <v>28926.328398394977</v>
      </c>
      <c r="CI20" s="41">
        <f t="shared" si="69"/>
        <v>0</v>
      </c>
      <c r="CJ20" s="41">
        <f t="shared" si="70"/>
        <v>0</v>
      </c>
      <c r="CK20" s="41">
        <f t="shared" si="71"/>
        <v>251923.37472077843</v>
      </c>
      <c r="CL20" s="41">
        <f t="shared" si="72"/>
        <v>1329212.4918629983</v>
      </c>
      <c r="CM20" s="346">
        <f t="shared" si="29"/>
        <v>0</v>
      </c>
      <c r="CN20" s="204">
        <f t="shared" si="30"/>
        <v>0</v>
      </c>
      <c r="CO20" s="204">
        <f t="shared" si="44"/>
        <v>0</v>
      </c>
      <c r="CP20" s="204">
        <f t="shared" si="31"/>
        <v>0</v>
      </c>
      <c r="CQ20" s="204">
        <f t="shared" si="32"/>
        <v>0</v>
      </c>
      <c r="CR20" s="204">
        <f t="shared" si="45"/>
        <v>0</v>
      </c>
      <c r="CS20" s="204">
        <f t="shared" si="33"/>
        <v>10248.077345949157</v>
      </c>
      <c r="CT20" s="204">
        <f t="shared" si="34"/>
        <v>2872.9052155628028</v>
      </c>
      <c r="CU20" s="204">
        <f t="shared" si="46"/>
        <v>13120.982561511961</v>
      </c>
      <c r="CV20" s="204">
        <f t="shared" si="35"/>
        <v>22592.763108353523</v>
      </c>
      <c r="CW20" s="204">
        <f t="shared" si="36"/>
        <v>6333.5652900414525</v>
      </c>
      <c r="CX20" s="204">
        <f t="shared" si="47"/>
        <v>28926.328398394977</v>
      </c>
      <c r="CY20" s="525" t="s">
        <v>118</v>
      </c>
      <c r="CZ20" s="562" t="s">
        <v>57</v>
      </c>
      <c r="DA20" s="562" t="s">
        <v>57</v>
      </c>
      <c r="DB20" s="562" t="s">
        <v>942</v>
      </c>
      <c r="DC20" s="562" t="s">
        <v>57</v>
      </c>
      <c r="DD20" s="561" t="s">
        <v>935</v>
      </c>
      <c r="DE20" s="561" t="s">
        <v>91</v>
      </c>
      <c r="DF20" s="562" t="s">
        <v>56</v>
      </c>
      <c r="DG20" s="562" t="s">
        <v>56</v>
      </c>
      <c r="DH20" s="562" t="s">
        <v>57</v>
      </c>
      <c r="DI20" s="562" t="s">
        <v>56</v>
      </c>
      <c r="DJ20" s="561" t="s">
        <v>359</v>
      </c>
      <c r="DK20" s="563" t="s">
        <v>928</v>
      </c>
      <c r="DL20" s="561" t="s">
        <v>929</v>
      </c>
      <c r="DM20" s="561" t="s">
        <v>359</v>
      </c>
      <c r="DN20" s="563" t="s">
        <v>928</v>
      </c>
      <c r="DO20" s="563"/>
      <c r="DP20" s="563"/>
      <c r="DQ20" s="563"/>
      <c r="DR20" s="581" t="s">
        <v>944</v>
      </c>
      <c r="DS20" s="561" t="s">
        <v>939</v>
      </c>
      <c r="DT20" s="556"/>
      <c r="DU20" s="557"/>
      <c r="DV20" s="557"/>
      <c r="DW20" s="557"/>
      <c r="DX20" s="557"/>
      <c r="DY20" s="557"/>
      <c r="DZ20" s="557"/>
      <c r="EA20" s="557"/>
      <c r="EB20" s="557"/>
    </row>
    <row r="21" spans="1:132" s="558" customFormat="1" ht="215.45" customHeight="1" x14ac:dyDescent="0.2">
      <c r="A21" s="771"/>
      <c r="B21" s="559" t="s">
        <v>945</v>
      </c>
      <c r="C21" s="536"/>
      <c r="D21" s="560">
        <v>116</v>
      </c>
      <c r="E21" s="561" t="s">
        <v>946</v>
      </c>
      <c r="F21" s="540" t="s">
        <v>14</v>
      </c>
      <c r="G21" s="538" t="s">
        <v>947</v>
      </c>
      <c r="H21" s="540" t="s">
        <v>90</v>
      </c>
      <c r="I21" s="561" t="s">
        <v>919</v>
      </c>
      <c r="J21" s="561" t="s">
        <v>488</v>
      </c>
      <c r="K21" s="572" t="s">
        <v>583</v>
      </c>
      <c r="L21" s="540" t="s">
        <v>926</v>
      </c>
      <c r="M21" s="306">
        <v>2750</v>
      </c>
      <c r="N21" s="573">
        <v>1</v>
      </c>
      <c r="O21" s="574" t="s">
        <v>77</v>
      </c>
      <c r="P21" s="303" t="s">
        <v>77</v>
      </c>
      <c r="Q21" s="99">
        <f t="shared" si="62"/>
        <v>0</v>
      </c>
      <c r="R21" s="99">
        <f t="shared" si="67"/>
        <v>0.3</v>
      </c>
      <c r="S21" s="4">
        <v>9</v>
      </c>
      <c r="T21" s="4">
        <v>32</v>
      </c>
      <c r="U21" s="4">
        <v>14</v>
      </c>
      <c r="V21" s="4">
        <v>53</v>
      </c>
      <c r="W21" s="575">
        <f t="shared" si="0"/>
        <v>1</v>
      </c>
      <c r="X21" s="546" t="s">
        <v>373</v>
      </c>
      <c r="Y21" s="576">
        <f t="shared" si="1"/>
        <v>0</v>
      </c>
      <c r="Z21" s="576">
        <f t="shared" si="2"/>
        <v>0</v>
      </c>
      <c r="AA21" s="145">
        <f t="shared" si="37"/>
        <v>0</v>
      </c>
      <c r="AB21" s="145">
        <f t="shared" si="38"/>
        <v>0</v>
      </c>
      <c r="AC21" s="145">
        <f t="shared" si="39"/>
        <v>0</v>
      </c>
      <c r="AD21" s="436">
        <f t="shared" si="3"/>
        <v>0.35159354999999998</v>
      </c>
      <c r="AE21" s="436">
        <f t="shared" si="4"/>
        <v>1.3310327249999998</v>
      </c>
      <c r="AF21" s="145">
        <f t="shared" si="40"/>
        <v>0.15948283427999999</v>
      </c>
      <c r="AG21" s="145">
        <f t="shared" si="41"/>
        <v>0.60375644405999995</v>
      </c>
      <c r="AH21" s="76"/>
      <c r="AI21" s="76"/>
      <c r="AJ21" s="76"/>
      <c r="AK21" s="76"/>
      <c r="AL21" s="76"/>
      <c r="AM21" s="76"/>
      <c r="AN21" s="104"/>
      <c r="AO21" s="76"/>
      <c r="AP21" s="76"/>
      <c r="AQ21" s="76"/>
      <c r="AR21" s="76"/>
      <c r="AS21" s="76"/>
      <c r="AT21" s="76"/>
      <c r="AU21" s="76"/>
      <c r="AV21" s="76"/>
      <c r="AW21" s="76"/>
      <c r="AX21" s="76"/>
      <c r="AY21" s="326"/>
      <c r="AZ21" s="542"/>
      <c r="BA21" s="542"/>
      <c r="BB21" s="327"/>
      <c r="BC21" s="76"/>
      <c r="BD21" s="76"/>
      <c r="BE21" s="76"/>
      <c r="BF21" s="76"/>
      <c r="BG21" s="76"/>
      <c r="BH21" s="76"/>
      <c r="BI21" s="4"/>
      <c r="BJ21" s="76"/>
      <c r="BK21" s="76"/>
      <c r="BL21" s="111"/>
      <c r="BM21" s="4"/>
      <c r="BN21" s="4"/>
      <c r="BO21" s="4"/>
      <c r="BP21" s="4"/>
      <c r="BQ21" s="324"/>
      <c r="BR21" s="324"/>
      <c r="BS21" s="324"/>
      <c r="BT21" s="324"/>
      <c r="BU21" s="76"/>
      <c r="BV21" s="111"/>
      <c r="BW21" s="88"/>
      <c r="BX21" s="89"/>
      <c r="BY21" s="89"/>
      <c r="BZ21" s="89"/>
      <c r="CA21" s="89"/>
      <c r="CB21" s="89"/>
      <c r="CC21" s="89"/>
      <c r="CD21" s="89"/>
      <c r="CE21" s="89"/>
      <c r="CF21" s="89"/>
      <c r="CG21" s="89"/>
      <c r="CH21" s="89"/>
      <c r="CI21" s="41"/>
      <c r="CJ21" s="41"/>
      <c r="CK21" s="41"/>
      <c r="CL21" s="41"/>
      <c r="CM21" s="346"/>
      <c r="CN21" s="204"/>
      <c r="CO21" s="204"/>
      <c r="CP21" s="204"/>
      <c r="CQ21" s="204"/>
      <c r="CR21" s="204"/>
      <c r="CS21" s="204"/>
      <c r="CT21" s="204"/>
      <c r="CU21" s="204"/>
      <c r="CV21" s="204"/>
      <c r="CW21" s="204"/>
      <c r="CX21" s="204"/>
      <c r="CY21" s="525"/>
      <c r="CZ21" s="562"/>
      <c r="DA21" s="562"/>
      <c r="DB21" s="562"/>
      <c r="DC21" s="562"/>
      <c r="DD21" s="561"/>
      <c r="DE21" s="561"/>
      <c r="DF21" s="562"/>
      <c r="DG21" s="562"/>
      <c r="DH21" s="562"/>
      <c r="DI21" s="562"/>
      <c r="DJ21" s="561"/>
      <c r="DK21" s="563"/>
      <c r="DL21" s="561"/>
      <c r="DM21" s="561"/>
      <c r="DN21" s="563"/>
      <c r="DO21" s="563"/>
      <c r="DP21" s="563"/>
      <c r="DQ21" s="563"/>
      <c r="DR21" s="561" t="s">
        <v>948</v>
      </c>
      <c r="DS21" s="537"/>
      <c r="DT21" s="556"/>
      <c r="DU21" s="557"/>
      <c r="DV21" s="557"/>
      <c r="DW21" s="557"/>
      <c r="DX21" s="557"/>
      <c r="DY21" s="557"/>
      <c r="DZ21" s="557"/>
      <c r="EA21" s="557"/>
      <c r="EB21" s="557"/>
    </row>
    <row r="22" spans="1:132" s="558" customFormat="1" ht="215.45" customHeight="1" x14ac:dyDescent="0.2">
      <c r="A22" s="771"/>
      <c r="B22" s="559" t="s">
        <v>949</v>
      </c>
      <c r="C22" s="536"/>
      <c r="D22" s="560">
        <v>117</v>
      </c>
      <c r="E22" s="561" t="s">
        <v>950</v>
      </c>
      <c r="F22" s="540" t="s">
        <v>14</v>
      </c>
      <c r="G22" s="538" t="s">
        <v>951</v>
      </c>
      <c r="H22" s="540" t="s">
        <v>90</v>
      </c>
      <c r="I22" s="561" t="s">
        <v>919</v>
      </c>
      <c r="J22" s="561" t="s">
        <v>952</v>
      </c>
      <c r="K22" s="572" t="s">
        <v>583</v>
      </c>
      <c r="L22" s="540" t="s">
        <v>926</v>
      </c>
      <c r="M22" s="306">
        <v>2750</v>
      </c>
      <c r="N22" s="573">
        <v>1</v>
      </c>
      <c r="O22" s="574" t="s">
        <v>77</v>
      </c>
      <c r="P22" s="303" t="s">
        <v>77</v>
      </c>
      <c r="Q22" s="99">
        <f t="shared" si="62"/>
        <v>0</v>
      </c>
      <c r="R22" s="99">
        <f t="shared" si="67"/>
        <v>0.3</v>
      </c>
      <c r="S22" s="4">
        <v>1</v>
      </c>
      <c r="T22" s="4">
        <v>3</v>
      </c>
      <c r="U22" s="4">
        <v>0</v>
      </c>
      <c r="V22" s="4">
        <v>0</v>
      </c>
      <c r="W22" s="575">
        <f t="shared" si="0"/>
        <v>1</v>
      </c>
      <c r="X22" s="546" t="s">
        <v>376</v>
      </c>
      <c r="Y22" s="576">
        <f t="shared" si="1"/>
        <v>0</v>
      </c>
      <c r="Z22" s="576"/>
      <c r="AA22" s="436">
        <f t="shared" si="37"/>
        <v>0</v>
      </c>
      <c r="AB22" s="436"/>
      <c r="AC22" s="436"/>
      <c r="AD22" s="436">
        <f t="shared" si="3"/>
        <v>0</v>
      </c>
      <c r="AE22" s="436">
        <f t="shared" si="4"/>
        <v>0</v>
      </c>
      <c r="AF22" s="436">
        <f t="shared" si="40"/>
        <v>0</v>
      </c>
      <c r="AG22" s="436">
        <f t="shared" si="41"/>
        <v>0</v>
      </c>
      <c r="AH22" s="76"/>
      <c r="AI22" s="76"/>
      <c r="AJ22" s="76"/>
      <c r="AK22" s="76"/>
      <c r="AL22" s="76"/>
      <c r="AM22" s="76"/>
      <c r="AN22" s="104"/>
      <c r="AO22" s="76"/>
      <c r="AP22" s="76"/>
      <c r="AQ22" s="76"/>
      <c r="AR22" s="76"/>
      <c r="AS22" s="76"/>
      <c r="AT22" s="76"/>
      <c r="AU22" s="76"/>
      <c r="AV22" s="76"/>
      <c r="AW22" s="76"/>
      <c r="AX22" s="76"/>
      <c r="AY22" s="326"/>
      <c r="AZ22" s="542"/>
      <c r="BA22" s="542"/>
      <c r="BB22" s="327"/>
      <c r="BC22" s="76"/>
      <c r="BD22" s="76"/>
      <c r="BE22" s="76"/>
      <c r="BF22" s="76"/>
      <c r="BG22" s="76"/>
      <c r="BH22" s="76"/>
      <c r="BI22" s="4"/>
      <c r="BJ22" s="76"/>
      <c r="BK22" s="76"/>
      <c r="BL22" s="111"/>
      <c r="BM22" s="4"/>
      <c r="BN22" s="4"/>
      <c r="BO22" s="4"/>
      <c r="BP22" s="4"/>
      <c r="BQ22" s="324"/>
      <c r="BR22" s="324"/>
      <c r="BS22" s="324"/>
      <c r="BT22" s="324"/>
      <c r="BU22" s="76"/>
      <c r="BV22" s="111"/>
      <c r="BW22" s="88"/>
      <c r="BX22" s="89"/>
      <c r="BY22" s="89"/>
      <c r="BZ22" s="89"/>
      <c r="CA22" s="89"/>
      <c r="CB22" s="89"/>
      <c r="CC22" s="89"/>
      <c r="CD22" s="89"/>
      <c r="CE22" s="89"/>
      <c r="CF22" s="89"/>
      <c r="CG22" s="89"/>
      <c r="CH22" s="89"/>
      <c r="CI22" s="41"/>
      <c r="CJ22" s="41"/>
      <c r="CK22" s="41"/>
      <c r="CL22" s="41"/>
      <c r="CM22" s="346"/>
      <c r="CN22" s="204"/>
      <c r="CO22" s="204"/>
      <c r="CP22" s="204"/>
      <c r="CQ22" s="204"/>
      <c r="CR22" s="204"/>
      <c r="CS22" s="204"/>
      <c r="CT22" s="204"/>
      <c r="CU22" s="204"/>
      <c r="CV22" s="204"/>
      <c r="CW22" s="204"/>
      <c r="CX22" s="204"/>
      <c r="CY22" s="525"/>
      <c r="CZ22" s="562"/>
      <c r="DA22" s="562"/>
      <c r="DB22" s="562"/>
      <c r="DC22" s="562"/>
      <c r="DD22" s="561"/>
      <c r="DE22" s="561"/>
      <c r="DF22" s="562"/>
      <c r="DG22" s="562"/>
      <c r="DH22" s="562"/>
      <c r="DI22" s="562"/>
      <c r="DJ22" s="561"/>
      <c r="DK22" s="563"/>
      <c r="DL22" s="561"/>
      <c r="DM22" s="561"/>
      <c r="DN22" s="563"/>
      <c r="DO22" s="563"/>
      <c r="DP22" s="563"/>
      <c r="DQ22" s="563"/>
      <c r="DR22" s="561" t="s">
        <v>948</v>
      </c>
      <c r="DS22" s="537"/>
      <c r="DT22" s="556"/>
      <c r="DU22" s="557"/>
      <c r="DV22" s="557"/>
      <c r="DW22" s="557"/>
      <c r="DX22" s="557"/>
      <c r="DY22" s="557"/>
      <c r="DZ22" s="557"/>
      <c r="EA22" s="557"/>
      <c r="EB22" s="557"/>
    </row>
    <row r="23" spans="1:132" s="558" customFormat="1" ht="216" customHeight="1" x14ac:dyDescent="0.2">
      <c r="A23" s="772"/>
      <c r="B23" s="559" t="s">
        <v>19</v>
      </c>
      <c r="C23" s="536"/>
      <c r="D23" s="560">
        <v>110</v>
      </c>
      <c r="E23" s="561" t="s">
        <v>953</v>
      </c>
      <c r="F23" s="540" t="s">
        <v>348</v>
      </c>
      <c r="G23" s="540" t="s">
        <v>369</v>
      </c>
      <c r="H23" s="540" t="s">
        <v>92</v>
      </c>
      <c r="I23" s="561" t="s">
        <v>919</v>
      </c>
      <c r="J23" s="561" t="s">
        <v>488</v>
      </c>
      <c r="K23" s="539" t="s">
        <v>584</v>
      </c>
      <c r="L23" s="540" t="s">
        <v>926</v>
      </c>
      <c r="M23" s="306">
        <v>2750</v>
      </c>
      <c r="N23" s="301">
        <v>1</v>
      </c>
      <c r="O23" s="11" t="s">
        <v>77</v>
      </c>
      <c r="P23" s="303" t="s">
        <v>77</v>
      </c>
      <c r="Q23" s="99">
        <f t="shared" si="62"/>
        <v>0</v>
      </c>
      <c r="R23" s="99">
        <f t="shared" si="67"/>
        <v>0.3</v>
      </c>
      <c r="S23" s="4">
        <v>50</v>
      </c>
      <c r="T23" s="4">
        <v>90</v>
      </c>
      <c r="U23" s="4">
        <v>1</v>
      </c>
      <c r="V23" s="4">
        <v>80</v>
      </c>
      <c r="W23" s="189">
        <f t="shared" si="0"/>
        <v>1</v>
      </c>
      <c r="X23" s="542" t="s">
        <v>374</v>
      </c>
      <c r="Y23" s="265">
        <f t="shared" si="1"/>
        <v>0</v>
      </c>
      <c r="Z23" s="265">
        <f t="shared" si="2"/>
        <v>0</v>
      </c>
      <c r="AA23" s="145">
        <f t="shared" si="37"/>
        <v>0</v>
      </c>
      <c r="AB23" s="145">
        <f t="shared" si="37"/>
        <v>0</v>
      </c>
      <c r="AC23" s="145">
        <f t="shared" ref="AC23" si="75">(AA23+AB23)/2</f>
        <v>0</v>
      </c>
      <c r="AD23" s="145">
        <f t="shared" si="3"/>
        <v>2.5113824999999996E-2</v>
      </c>
      <c r="AE23" s="145">
        <f t="shared" si="4"/>
        <v>2.0091059999999996</v>
      </c>
      <c r="AF23" s="145">
        <f t="shared" si="40"/>
        <v>1.1391631019999997E-2</v>
      </c>
      <c r="AG23" s="145">
        <f t="shared" si="41"/>
        <v>0.91133048159999985</v>
      </c>
      <c r="AH23" s="76">
        <v>65000</v>
      </c>
      <c r="AI23" s="76">
        <v>75000</v>
      </c>
      <c r="AJ23" s="76">
        <f t="shared" ref="AJ23" si="76">(AH23+AI23)/2</f>
        <v>70000</v>
      </c>
      <c r="AK23" s="76">
        <f t="shared" ref="AK23:AM25" si="77">AH23*($AA$109/$AA$107)</f>
        <v>65000</v>
      </c>
      <c r="AL23" s="76">
        <f t="shared" si="77"/>
        <v>75000</v>
      </c>
      <c r="AM23" s="76">
        <f t="shared" si="77"/>
        <v>70000</v>
      </c>
      <c r="AN23" s="104">
        <v>0.6</v>
      </c>
      <c r="AO23" s="76">
        <f>$AA$121</f>
        <v>250000</v>
      </c>
      <c r="AP23" s="76">
        <f t="shared" ref="AP23" si="78">(AK23*(1+$AN$2))+AO23</f>
        <v>341000</v>
      </c>
      <c r="AQ23" s="76">
        <f t="shared" ref="AQ23" si="79">(AL23*(1+$AN$2))+AO23</f>
        <v>355000</v>
      </c>
      <c r="AR23" s="76">
        <f t="shared" ref="AR23" si="80">(AP23+AQ23)/2</f>
        <v>348000</v>
      </c>
      <c r="AS23" s="76">
        <v>4000</v>
      </c>
      <c r="AT23" s="76">
        <v>6000</v>
      </c>
      <c r="AU23" s="76">
        <f t="shared" ref="AU23" si="81">(AS23+AT23)/2</f>
        <v>5000</v>
      </c>
      <c r="AV23" s="76">
        <f t="shared" ref="AV23:AX25" si="82">AS23*($AA$109/$AA$107)</f>
        <v>4000</v>
      </c>
      <c r="AW23" s="76">
        <f t="shared" si="82"/>
        <v>6000</v>
      </c>
      <c r="AX23" s="76">
        <f t="shared" si="82"/>
        <v>5000</v>
      </c>
      <c r="AY23" s="326">
        <v>0.75</v>
      </c>
      <c r="AZ23" s="542">
        <v>0.1</v>
      </c>
      <c r="BA23" s="542">
        <v>0.1</v>
      </c>
      <c r="BB23" s="327" t="s">
        <v>293</v>
      </c>
      <c r="BC23" s="76">
        <f t="shared" ref="BC23:BE23" si="83">AP23*(1+$AZ23)</f>
        <v>375100.00000000006</v>
      </c>
      <c r="BD23" s="76">
        <f t="shared" si="83"/>
        <v>390500.00000000006</v>
      </c>
      <c r="BE23" s="76">
        <f t="shared" si="83"/>
        <v>382800.00000000006</v>
      </c>
      <c r="BF23" s="76">
        <f t="shared" ref="BF23:BH23" si="84">AV23*(1+$BA23)</f>
        <v>4400</v>
      </c>
      <c r="BG23" s="76">
        <f t="shared" si="84"/>
        <v>6600.0000000000009</v>
      </c>
      <c r="BH23" s="76">
        <f t="shared" si="84"/>
        <v>5500</v>
      </c>
      <c r="BI23" s="4">
        <v>20</v>
      </c>
      <c r="BJ23" s="76">
        <f t="shared" ref="BJ23" si="85">BE23*0.25</f>
        <v>95700.000000000015</v>
      </c>
      <c r="BK23" s="76">
        <f t="shared" ref="BK23" si="86">IF(($CB$2/BI23)&gt;0,((($CB$2/BI23))*BJ23),0)</f>
        <v>95700.000000000015</v>
      </c>
      <c r="BL23" s="111">
        <f t="shared" ref="BL23" si="87">PV(((1+$BY$2)^BI23)-1,ROUNDUP($CB$2/BI23-1,0),-BJ23,0,0)</f>
        <v>0</v>
      </c>
      <c r="BM23" s="4">
        <f t="shared" si="9"/>
        <v>0</v>
      </c>
      <c r="BN23" s="4">
        <f t="shared" ref="BN23" si="88">BM23*0.4536</f>
        <v>0</v>
      </c>
      <c r="BO23" s="4">
        <f t="shared" si="10"/>
        <v>20.342198249999996</v>
      </c>
      <c r="BP23" s="4">
        <f t="shared" ref="BP23" si="89">BO23*0.4536</f>
        <v>9.2272211261999981</v>
      </c>
      <c r="BQ23" s="324">
        <f t="shared" ref="BQ23:BR25" si="90">IF($Q23&lt;$W$122,BM23,(BM23-((BM23/$Q23)*($Q23-$W$122))))</f>
        <v>0</v>
      </c>
      <c r="BR23" s="324">
        <f t="shared" si="90"/>
        <v>0</v>
      </c>
      <c r="BS23" s="324">
        <f t="shared" ref="BS23:BT25" si="91">IF($R23&lt;$X$122,BO23,(BO23-((BO23/$R23)*($R23-$X$122))))</f>
        <v>20.342198249999996</v>
      </c>
      <c r="BT23" s="324">
        <f t="shared" si="91"/>
        <v>9.2272211261999981</v>
      </c>
      <c r="BU23" s="76" t="str">
        <f t="shared" ref="BU23" si="92">IF((Y23+Z23+AD23+AE23=0),(BE23+PV($BY$2,$CB$2,-BH23,0,0)),"N/A")</f>
        <v>N/A</v>
      </c>
      <c r="BV23" s="111" t="e">
        <f t="shared" ref="BV23" si="93">((BE23/12.46)+BH23)/((AA23+AB23)/2)</f>
        <v>#DIV/0!</v>
      </c>
      <c r="BW23" s="88">
        <f t="shared" si="17"/>
        <v>0</v>
      </c>
      <c r="BX23" s="89">
        <f t="shared" si="18"/>
        <v>0</v>
      </c>
      <c r="BY23" s="89">
        <f t="shared" ref="BY23" si="94">BW23+BX23</f>
        <v>0</v>
      </c>
      <c r="BZ23" s="89">
        <f t="shared" si="20"/>
        <v>0</v>
      </c>
      <c r="CA23" s="89">
        <f t="shared" si="21"/>
        <v>0</v>
      </c>
      <c r="CB23" s="89">
        <f t="shared" ref="CB23" si="95">BZ23+CA23</f>
        <v>0</v>
      </c>
      <c r="CC23" s="89">
        <f t="shared" si="23"/>
        <v>18818.025234809622</v>
      </c>
      <c r="CD23" s="89">
        <f t="shared" si="24"/>
        <v>3369.4567343020526</v>
      </c>
      <c r="CE23" s="89">
        <f t="shared" ref="CE23" si="96">CC23+CD23</f>
        <v>22187.481969111675</v>
      </c>
      <c r="CF23" s="89">
        <f t="shared" si="26"/>
        <v>41485.946284853664</v>
      </c>
      <c r="CG23" s="89">
        <f t="shared" si="27"/>
        <v>7428.255587085654</v>
      </c>
      <c r="CH23" s="89">
        <f t="shared" ref="CH23" si="97">CF23+CG23</f>
        <v>48914.201871939316</v>
      </c>
      <c r="CI23" s="41">
        <f t="shared" ref="CI23" si="98">IF(Z23&gt;0,((BC23+PV($BY$2,$CB$2,-BF23,0,0))/Z23),0)</f>
        <v>0</v>
      </c>
      <c r="CJ23" s="41">
        <f t="shared" ref="CJ23" si="99">IF(Y23&gt;0,((BD23+PV($BY$2,$CB$2,-BG23,0,0))/Y23),0)</f>
        <v>0</v>
      </c>
      <c r="CK23" s="41">
        <f t="shared" ref="CK23" si="100">IF(AE23&gt;0,((BC23+PV($BY$2,$CB$2,-BF23,0,0))/AE23),0)</f>
        <v>213992.55465225634</v>
      </c>
      <c r="CL23" s="41">
        <f t="shared" ref="CL23" si="101">IF(AD23&gt;0,((BD23+PV($BY$2,$CB$2,-BG23,0,0))/AD23),0)</f>
        <v>18824316.417780407</v>
      </c>
      <c r="CM23" s="346">
        <f t="shared" si="29"/>
        <v>0</v>
      </c>
      <c r="CN23" s="204">
        <f t="shared" si="30"/>
        <v>0</v>
      </c>
      <c r="CO23" s="204">
        <f t="shared" ref="CO23" si="102">CM23+CN23</f>
        <v>0</v>
      </c>
      <c r="CP23" s="204">
        <f t="shared" si="31"/>
        <v>0</v>
      </c>
      <c r="CQ23" s="204">
        <f t="shared" si="32"/>
        <v>0</v>
      </c>
      <c r="CR23" s="204">
        <f t="shared" ref="CR23" si="103">CP23+CQ23</f>
        <v>0</v>
      </c>
      <c r="CS23" s="204">
        <f t="shared" si="33"/>
        <v>18818.025234809622</v>
      </c>
      <c r="CT23" s="204">
        <f t="shared" si="34"/>
        <v>3369.4567343020526</v>
      </c>
      <c r="CU23" s="204">
        <f t="shared" ref="CU23" si="104">CS23+CT23</f>
        <v>22187.481969111675</v>
      </c>
      <c r="CV23" s="204">
        <f t="shared" si="35"/>
        <v>41485.946284853664</v>
      </c>
      <c r="CW23" s="204">
        <f t="shared" si="36"/>
        <v>7428.255587085654</v>
      </c>
      <c r="CX23" s="204">
        <f t="shared" ref="CX23" si="105">CV23+CW23</f>
        <v>48914.201871939316</v>
      </c>
      <c r="CY23" s="525" t="s">
        <v>118</v>
      </c>
      <c r="CZ23" s="562" t="s">
        <v>57</v>
      </c>
      <c r="DA23" s="562" t="s">
        <v>57</v>
      </c>
      <c r="DB23" s="562" t="s">
        <v>331</v>
      </c>
      <c r="DC23" s="562" t="s">
        <v>57</v>
      </c>
      <c r="DD23" s="561" t="s">
        <v>998</v>
      </c>
      <c r="DE23" s="561" t="s">
        <v>91</v>
      </c>
      <c r="DF23" s="562" t="s">
        <v>56</v>
      </c>
      <c r="DG23" s="562" t="s">
        <v>56</v>
      </c>
      <c r="DH23" s="562" t="s">
        <v>57</v>
      </c>
      <c r="DI23" s="562" t="s">
        <v>56</v>
      </c>
      <c r="DJ23" s="561" t="s">
        <v>359</v>
      </c>
      <c r="DK23" s="563" t="s">
        <v>361</v>
      </c>
      <c r="DL23" s="561" t="s">
        <v>350</v>
      </c>
      <c r="DM23" s="561" t="s">
        <v>359</v>
      </c>
      <c r="DN23" s="563" t="s">
        <v>361</v>
      </c>
      <c r="DO23" s="563"/>
      <c r="DP23" s="563"/>
      <c r="DQ23" s="563"/>
      <c r="DR23" s="561" t="s">
        <v>954</v>
      </c>
      <c r="DS23" s="561" t="s">
        <v>437</v>
      </c>
      <c r="DT23" s="556"/>
      <c r="DU23" s="557"/>
      <c r="DV23" s="557"/>
      <c r="DW23" s="557"/>
      <c r="DX23" s="557"/>
      <c r="DY23" s="557"/>
      <c r="DZ23" s="557"/>
      <c r="EA23" s="557"/>
      <c r="EB23" s="557"/>
    </row>
    <row r="24" spans="1:132" ht="347.25" hidden="1" customHeight="1" x14ac:dyDescent="0.2">
      <c r="A24" s="755" t="s">
        <v>93</v>
      </c>
      <c r="B24" s="12" t="s">
        <v>388</v>
      </c>
      <c r="C24" s="84"/>
      <c r="D24" s="235">
        <v>201</v>
      </c>
      <c r="E24" s="271" t="s">
        <v>696</v>
      </c>
      <c r="F24" s="272" t="s">
        <v>94</v>
      </c>
      <c r="G24" s="272" t="s">
        <v>371</v>
      </c>
      <c r="H24" s="276" t="s">
        <v>86</v>
      </c>
      <c r="I24" s="275" t="s">
        <v>461</v>
      </c>
      <c r="J24" s="271" t="s">
        <v>489</v>
      </c>
      <c r="K24" s="259" t="s">
        <v>585</v>
      </c>
      <c r="L24" s="272" t="s">
        <v>9</v>
      </c>
      <c r="M24" s="308" t="s">
        <v>77</v>
      </c>
      <c r="N24" s="301">
        <v>1</v>
      </c>
      <c r="O24" s="11" t="s">
        <v>77</v>
      </c>
      <c r="P24" s="303" t="s">
        <v>77</v>
      </c>
      <c r="Q24" s="141">
        <f>$Q$113</f>
        <v>0.75</v>
      </c>
      <c r="R24" s="141">
        <f>$R$113</f>
        <v>0.5</v>
      </c>
      <c r="S24" s="4">
        <v>8</v>
      </c>
      <c r="T24" s="4">
        <v>15</v>
      </c>
      <c r="U24" s="324">
        <v>0</v>
      </c>
      <c r="V24" s="324">
        <v>0</v>
      </c>
      <c r="W24" s="189">
        <f t="shared" si="0"/>
        <v>0.97471428571428576</v>
      </c>
      <c r="X24" s="51" t="s">
        <v>77</v>
      </c>
      <c r="Y24" s="265">
        <f>$W$115*N24</f>
        <v>440</v>
      </c>
      <c r="Z24" s="265">
        <f>$X$115*N24</f>
        <v>660</v>
      </c>
      <c r="AA24" s="145">
        <f t="shared" si="37"/>
        <v>199.584</v>
      </c>
      <c r="AB24" s="145">
        <f>Z24*0.4536</f>
        <v>299.37599999999998</v>
      </c>
      <c r="AC24" s="145">
        <f>(AA24+AB24)/2</f>
        <v>249.48</v>
      </c>
      <c r="AD24" s="145">
        <v>0</v>
      </c>
      <c r="AE24" s="145">
        <v>0</v>
      </c>
      <c r="AF24" s="145">
        <f t="shared" ref="AF24:AG28" si="106">AD24*0.4536</f>
        <v>0</v>
      </c>
      <c r="AG24" s="145">
        <f t="shared" si="106"/>
        <v>0</v>
      </c>
      <c r="AH24" s="76">
        <v>25000</v>
      </c>
      <c r="AI24" s="76">
        <v>50000</v>
      </c>
      <c r="AJ24" s="76">
        <f t="shared" si="48"/>
        <v>37500</v>
      </c>
      <c r="AK24" s="76">
        <f t="shared" si="77"/>
        <v>25000</v>
      </c>
      <c r="AL24" s="76">
        <f t="shared" si="77"/>
        <v>50000</v>
      </c>
      <c r="AM24" s="76">
        <f t="shared" si="77"/>
        <v>37500</v>
      </c>
      <c r="AN24" s="104">
        <v>0.5</v>
      </c>
      <c r="AO24" s="76">
        <v>0</v>
      </c>
      <c r="AP24" s="76">
        <f t="shared" si="51"/>
        <v>35000</v>
      </c>
      <c r="AQ24" s="76">
        <f t="shared" si="52"/>
        <v>70000</v>
      </c>
      <c r="AR24" s="76">
        <f>(AP24+AQ24)/2</f>
        <v>52500</v>
      </c>
      <c r="AS24" s="76">
        <v>0</v>
      </c>
      <c r="AT24" s="76">
        <v>10000</v>
      </c>
      <c r="AU24" s="76">
        <f t="shared" si="59"/>
        <v>5000</v>
      </c>
      <c r="AV24" s="76">
        <f t="shared" si="82"/>
        <v>0</v>
      </c>
      <c r="AW24" s="76">
        <f t="shared" si="82"/>
        <v>10000</v>
      </c>
      <c r="AX24" s="76">
        <f t="shared" si="82"/>
        <v>5000</v>
      </c>
      <c r="AY24" s="326">
        <v>0.75</v>
      </c>
      <c r="AZ24" s="51">
        <v>0.2</v>
      </c>
      <c r="BA24" s="51">
        <v>0.1</v>
      </c>
      <c r="BB24" s="327" t="s">
        <v>292</v>
      </c>
      <c r="BC24" s="76">
        <f t="shared" ref="BC24:BD28" si="107">AP24*(1+$AZ24)</f>
        <v>42000</v>
      </c>
      <c r="BD24" s="76">
        <f t="shared" si="107"/>
        <v>84000</v>
      </c>
      <c r="BE24" s="76">
        <f t="shared" si="42"/>
        <v>63000</v>
      </c>
      <c r="BF24" s="76">
        <f t="shared" ref="BF24:BG28" si="108">AV24*(1+$BA24)</f>
        <v>0</v>
      </c>
      <c r="BG24" s="76">
        <f t="shared" si="108"/>
        <v>11000</v>
      </c>
      <c r="BH24" s="76">
        <f t="shared" si="7"/>
        <v>5500</v>
      </c>
      <c r="BI24" s="4">
        <v>20</v>
      </c>
      <c r="BJ24" s="76">
        <f t="shared" ref="BJ24:BJ29" si="109">BE24*0.25</f>
        <v>15750</v>
      </c>
      <c r="BK24" s="76">
        <f t="shared" si="8"/>
        <v>15750</v>
      </c>
      <c r="BL24" s="111">
        <f t="shared" si="43"/>
        <v>0</v>
      </c>
      <c r="BM24" s="4">
        <f t="shared" si="9"/>
        <v>11000</v>
      </c>
      <c r="BN24" s="4">
        <f>BM24*0.4536</f>
        <v>4989.6000000000004</v>
      </c>
      <c r="BO24" s="4">
        <f t="shared" si="10"/>
        <v>0</v>
      </c>
      <c r="BP24" s="4">
        <f>BO24*0.4536</f>
        <v>0</v>
      </c>
      <c r="BQ24" s="324">
        <f t="shared" si="90"/>
        <v>11000</v>
      </c>
      <c r="BR24" s="324">
        <f t="shared" si="90"/>
        <v>4989.6000000000004</v>
      </c>
      <c r="BS24" s="324">
        <f t="shared" si="91"/>
        <v>0</v>
      </c>
      <c r="BT24" s="324">
        <f t="shared" si="91"/>
        <v>0</v>
      </c>
      <c r="BU24" s="76" t="str">
        <f t="shared" si="15"/>
        <v>N/A</v>
      </c>
      <c r="BV24" s="111">
        <f t="shared" si="16"/>
        <v>42.312729578647186</v>
      </c>
      <c r="BW24" s="88">
        <f t="shared" si="17"/>
        <v>5.7272727272727275</v>
      </c>
      <c r="BX24" s="89">
        <f t="shared" si="18"/>
        <v>6.2311051712699923</v>
      </c>
      <c r="BY24" s="89">
        <f t="shared" si="19"/>
        <v>11.95837789854272</v>
      </c>
      <c r="BZ24" s="89">
        <f t="shared" si="20"/>
        <v>12.626262626262625</v>
      </c>
      <c r="CA24" s="89">
        <f t="shared" si="21"/>
        <v>13.737004345833316</v>
      </c>
      <c r="CB24" s="89">
        <f t="shared" si="22"/>
        <v>26.363266972095943</v>
      </c>
      <c r="CC24" s="89">
        <f t="shared" si="23"/>
        <v>0</v>
      </c>
      <c r="CD24" s="89">
        <f t="shared" si="24"/>
        <v>0</v>
      </c>
      <c r="CE24" s="89">
        <f t="shared" si="25"/>
        <v>0</v>
      </c>
      <c r="CF24" s="89">
        <f t="shared" si="26"/>
        <v>0</v>
      </c>
      <c r="CG24" s="89">
        <f t="shared" si="27"/>
        <v>0</v>
      </c>
      <c r="CH24" s="89">
        <f t="shared" si="28"/>
        <v>0</v>
      </c>
      <c r="CI24" s="41">
        <f t="shared" ref="CI24:CI56" si="110">IF(Z24&gt;0,((BC24+PV($BY$2,$CB$2,-BF24,0,0))/Z24),0)</f>
        <v>63.636363636363633</v>
      </c>
      <c r="CJ24" s="41">
        <f t="shared" ref="CJ24:CJ56" si="111">IF(Y24&gt;0,((BD24+PV($BY$2,$CB$2,-BG24,0,0))/Y24),0)</f>
        <v>502.46434947259053</v>
      </c>
      <c r="CK24" s="41">
        <f t="shared" ref="CK24:CK56" si="112">IF(AE24&gt;0,((BC24+PV($BY$2,$CB$2,-BF24,0,0))/AE24),0)</f>
        <v>0</v>
      </c>
      <c r="CL24" s="41">
        <f t="shared" ref="CL24:CL56" si="113">IF(AD24&gt;0,((BD24+PV($BY$2,$CB$2,-BG24,0,0))/AD24),0)</f>
        <v>0</v>
      </c>
      <c r="CM24" s="346">
        <f t="shared" si="29"/>
        <v>5.7272727272727275</v>
      </c>
      <c r="CN24" s="204">
        <f t="shared" si="30"/>
        <v>6.2311051712699923</v>
      </c>
      <c r="CO24" s="204">
        <f t="shared" si="44"/>
        <v>11.95837789854272</v>
      </c>
      <c r="CP24" s="204">
        <f t="shared" si="31"/>
        <v>12.626262626262625</v>
      </c>
      <c r="CQ24" s="204">
        <f t="shared" si="32"/>
        <v>13.737004345833316</v>
      </c>
      <c r="CR24" s="204">
        <f t="shared" si="45"/>
        <v>26.363266972095943</v>
      </c>
      <c r="CS24" s="204">
        <f t="shared" si="33"/>
        <v>0</v>
      </c>
      <c r="CT24" s="204">
        <f t="shared" si="34"/>
        <v>0</v>
      </c>
      <c r="CU24" s="204">
        <f t="shared" si="46"/>
        <v>0</v>
      </c>
      <c r="CV24" s="204">
        <f t="shared" si="35"/>
        <v>0</v>
      </c>
      <c r="CW24" s="204">
        <f t="shared" si="36"/>
        <v>0</v>
      </c>
      <c r="CX24" s="204">
        <f t="shared" si="47"/>
        <v>0</v>
      </c>
      <c r="CY24" s="286" t="s">
        <v>118</v>
      </c>
      <c r="CZ24" s="285" t="s">
        <v>57</v>
      </c>
      <c r="DA24" s="285" t="s">
        <v>57</v>
      </c>
      <c r="DB24" s="285" t="s">
        <v>332</v>
      </c>
      <c r="DC24" s="285" t="s">
        <v>56</v>
      </c>
      <c r="DD24" s="275" t="s">
        <v>390</v>
      </c>
      <c r="DE24" s="275" t="s">
        <v>392</v>
      </c>
      <c r="DF24" s="285" t="s">
        <v>56</v>
      </c>
      <c r="DG24" s="285" t="s">
        <v>56</v>
      </c>
      <c r="DH24" s="285" t="s">
        <v>56</v>
      </c>
      <c r="DI24" s="285" t="s">
        <v>56</v>
      </c>
      <c r="DJ24" s="271" t="s">
        <v>363</v>
      </c>
      <c r="DK24" s="272" t="s">
        <v>358</v>
      </c>
      <c r="DL24" s="271" t="s">
        <v>350</v>
      </c>
      <c r="DM24" s="271" t="s">
        <v>363</v>
      </c>
      <c r="DN24" s="272" t="s">
        <v>481</v>
      </c>
      <c r="DO24" s="520"/>
      <c r="DP24" s="520"/>
      <c r="DQ24" s="527" t="s">
        <v>857</v>
      </c>
      <c r="DR24" s="531" t="s">
        <v>858</v>
      </c>
      <c r="DS24" s="271" t="s">
        <v>528</v>
      </c>
      <c r="DT24" s="105"/>
      <c r="DU24" s="28"/>
      <c r="DV24" s="28"/>
      <c r="DW24" s="28"/>
      <c r="DX24" s="28"/>
      <c r="DY24" s="28"/>
      <c r="DZ24" s="28"/>
      <c r="EA24" s="28"/>
      <c r="EB24" s="28"/>
    </row>
    <row r="25" spans="1:132" ht="345" customHeight="1" x14ac:dyDescent="0.2">
      <c r="A25" s="756"/>
      <c r="B25" s="583" t="s">
        <v>842</v>
      </c>
      <c r="C25" s="84"/>
      <c r="D25" s="235">
        <v>202</v>
      </c>
      <c r="E25" s="271" t="s">
        <v>959</v>
      </c>
      <c r="F25" s="272" t="s">
        <v>94</v>
      </c>
      <c r="G25" s="272" t="s">
        <v>371</v>
      </c>
      <c r="H25" s="276" t="s">
        <v>86</v>
      </c>
      <c r="I25" s="275" t="s">
        <v>775</v>
      </c>
      <c r="J25" s="271" t="s">
        <v>490</v>
      </c>
      <c r="K25" s="259" t="s">
        <v>586</v>
      </c>
      <c r="L25" s="272" t="s">
        <v>9</v>
      </c>
      <c r="M25" s="308" t="s">
        <v>77</v>
      </c>
      <c r="N25" s="301">
        <v>1</v>
      </c>
      <c r="O25" s="11" t="s">
        <v>77</v>
      </c>
      <c r="P25" s="303" t="s">
        <v>77</v>
      </c>
      <c r="Q25" s="141">
        <f>$Q$113</f>
        <v>0.75</v>
      </c>
      <c r="R25" s="141">
        <f>$R$113</f>
        <v>0.5</v>
      </c>
      <c r="S25" s="4">
        <v>8</v>
      </c>
      <c r="T25" s="4">
        <v>15</v>
      </c>
      <c r="U25" s="324">
        <v>0</v>
      </c>
      <c r="V25" s="324">
        <v>0</v>
      </c>
      <c r="W25" s="189">
        <f t="shared" si="0"/>
        <v>0.97471428571428576</v>
      </c>
      <c r="X25" s="51" t="s">
        <v>77</v>
      </c>
      <c r="Y25" s="265">
        <f>$W$115*N25</f>
        <v>440</v>
      </c>
      <c r="Z25" s="265">
        <f>$X$115*N25</f>
        <v>660</v>
      </c>
      <c r="AA25" s="585">
        <v>52</v>
      </c>
      <c r="AB25" s="585">
        <v>100</v>
      </c>
      <c r="AC25" s="585" t="s">
        <v>132</v>
      </c>
      <c r="AD25" s="145">
        <v>0</v>
      </c>
      <c r="AE25" s="145">
        <v>0</v>
      </c>
      <c r="AF25" s="145">
        <f t="shared" si="106"/>
        <v>0</v>
      </c>
      <c r="AG25" s="145">
        <f t="shared" si="106"/>
        <v>0</v>
      </c>
      <c r="AH25" s="76">
        <v>25000</v>
      </c>
      <c r="AI25" s="76">
        <v>50000</v>
      </c>
      <c r="AJ25" s="76">
        <f t="shared" si="48"/>
        <v>37500</v>
      </c>
      <c r="AK25" s="76">
        <f t="shared" si="77"/>
        <v>25000</v>
      </c>
      <c r="AL25" s="76">
        <f t="shared" si="77"/>
        <v>50000</v>
      </c>
      <c r="AM25" s="76">
        <f t="shared" si="77"/>
        <v>37500</v>
      </c>
      <c r="AN25" s="104">
        <v>0.5</v>
      </c>
      <c r="AO25" s="76">
        <v>0</v>
      </c>
      <c r="AP25" s="76">
        <f t="shared" si="51"/>
        <v>35000</v>
      </c>
      <c r="AQ25" s="76">
        <f t="shared" si="52"/>
        <v>70000</v>
      </c>
      <c r="AR25" s="76">
        <f>(AP25+AQ25)/2</f>
        <v>52500</v>
      </c>
      <c r="AS25" s="76">
        <v>0</v>
      </c>
      <c r="AT25" s="76">
        <v>10000</v>
      </c>
      <c r="AU25" s="76">
        <f t="shared" si="59"/>
        <v>5000</v>
      </c>
      <c r="AV25" s="76">
        <f t="shared" si="82"/>
        <v>0</v>
      </c>
      <c r="AW25" s="76">
        <f t="shared" si="82"/>
        <v>10000</v>
      </c>
      <c r="AX25" s="76">
        <f t="shared" si="82"/>
        <v>5000</v>
      </c>
      <c r="AY25" s="326">
        <v>0.75</v>
      </c>
      <c r="AZ25" s="51">
        <v>0.2</v>
      </c>
      <c r="BA25" s="51">
        <v>0.1</v>
      </c>
      <c r="BB25" s="327" t="s">
        <v>292</v>
      </c>
      <c r="BC25" s="76">
        <f t="shared" si="107"/>
        <v>42000</v>
      </c>
      <c r="BD25" s="76">
        <f t="shared" si="107"/>
        <v>84000</v>
      </c>
      <c r="BE25" s="76">
        <f t="shared" si="42"/>
        <v>63000</v>
      </c>
      <c r="BF25" s="76">
        <f t="shared" si="108"/>
        <v>0</v>
      </c>
      <c r="BG25" s="76">
        <f t="shared" si="108"/>
        <v>11000</v>
      </c>
      <c r="BH25" s="76">
        <f t="shared" si="7"/>
        <v>5500</v>
      </c>
      <c r="BI25" s="4">
        <v>20</v>
      </c>
      <c r="BJ25" s="76">
        <f t="shared" si="109"/>
        <v>15750</v>
      </c>
      <c r="BK25" s="76">
        <f t="shared" si="8"/>
        <v>15750</v>
      </c>
      <c r="BL25" s="111">
        <f t="shared" si="43"/>
        <v>0</v>
      </c>
      <c r="BM25" s="4">
        <f t="shared" si="9"/>
        <v>11000</v>
      </c>
      <c r="BN25" s="4">
        <f>BM25*0.4536</f>
        <v>4989.6000000000004</v>
      </c>
      <c r="BO25" s="4">
        <f t="shared" si="10"/>
        <v>0</v>
      </c>
      <c r="BP25" s="4">
        <f>BO25*0.4536</f>
        <v>0</v>
      </c>
      <c r="BQ25" s="324">
        <f t="shared" si="90"/>
        <v>11000</v>
      </c>
      <c r="BR25" s="324">
        <f t="shared" si="90"/>
        <v>4989.6000000000004</v>
      </c>
      <c r="BS25" s="324">
        <f t="shared" si="91"/>
        <v>0</v>
      </c>
      <c r="BT25" s="324">
        <f t="shared" si="91"/>
        <v>0</v>
      </c>
      <c r="BU25" s="76" t="str">
        <f t="shared" si="15"/>
        <v>N/A</v>
      </c>
      <c r="BV25" s="111">
        <f t="shared" si="16"/>
        <v>138.89710230632764</v>
      </c>
      <c r="BW25" s="88">
        <f t="shared" si="17"/>
        <v>5.7272727272727275</v>
      </c>
      <c r="BX25" s="89">
        <f t="shared" si="18"/>
        <v>6.2311051712699923</v>
      </c>
      <c r="BY25" s="89">
        <f t="shared" si="19"/>
        <v>11.95837789854272</v>
      </c>
      <c r="BZ25" s="89">
        <f t="shared" si="20"/>
        <v>12.626262626262625</v>
      </c>
      <c r="CA25" s="89">
        <f t="shared" si="21"/>
        <v>13.737004345833316</v>
      </c>
      <c r="CB25" s="89">
        <f t="shared" si="22"/>
        <v>26.363266972095943</v>
      </c>
      <c r="CC25" s="89">
        <f t="shared" si="23"/>
        <v>0</v>
      </c>
      <c r="CD25" s="89">
        <f t="shared" si="24"/>
        <v>0</v>
      </c>
      <c r="CE25" s="89">
        <f t="shared" si="25"/>
        <v>0</v>
      </c>
      <c r="CF25" s="89">
        <f t="shared" si="26"/>
        <v>0</v>
      </c>
      <c r="CG25" s="89">
        <f t="shared" si="27"/>
        <v>0</v>
      </c>
      <c r="CH25" s="89">
        <f t="shared" si="28"/>
        <v>0</v>
      </c>
      <c r="CI25" s="41">
        <f t="shared" si="110"/>
        <v>63.636363636363633</v>
      </c>
      <c r="CJ25" s="41">
        <f t="shared" si="111"/>
        <v>502.46434947259053</v>
      </c>
      <c r="CK25" s="41">
        <f t="shared" si="112"/>
        <v>0</v>
      </c>
      <c r="CL25" s="41">
        <f t="shared" si="113"/>
        <v>0</v>
      </c>
      <c r="CM25" s="346">
        <f t="shared" si="29"/>
        <v>5.7272727272727275</v>
      </c>
      <c r="CN25" s="204">
        <f t="shared" si="30"/>
        <v>6.2311051712699923</v>
      </c>
      <c r="CO25" s="204">
        <f t="shared" si="44"/>
        <v>11.95837789854272</v>
      </c>
      <c r="CP25" s="204">
        <f t="shared" si="31"/>
        <v>12.626262626262625</v>
      </c>
      <c r="CQ25" s="204">
        <f t="shared" si="32"/>
        <v>13.737004345833316</v>
      </c>
      <c r="CR25" s="204">
        <f t="shared" si="45"/>
        <v>26.363266972095943</v>
      </c>
      <c r="CS25" s="204">
        <f t="shared" si="33"/>
        <v>0</v>
      </c>
      <c r="CT25" s="204">
        <f t="shared" si="34"/>
        <v>0</v>
      </c>
      <c r="CU25" s="204">
        <f t="shared" si="46"/>
        <v>0</v>
      </c>
      <c r="CV25" s="204">
        <f t="shared" si="35"/>
        <v>0</v>
      </c>
      <c r="CW25" s="204">
        <f t="shared" si="36"/>
        <v>0</v>
      </c>
      <c r="CX25" s="204">
        <f t="shared" si="47"/>
        <v>0</v>
      </c>
      <c r="CY25" s="286" t="s">
        <v>118</v>
      </c>
      <c r="CZ25" s="285" t="s">
        <v>57</v>
      </c>
      <c r="DA25" s="285" t="s">
        <v>57</v>
      </c>
      <c r="DB25" s="285" t="s">
        <v>332</v>
      </c>
      <c r="DC25" s="285" t="s">
        <v>56</v>
      </c>
      <c r="DD25" s="275" t="s">
        <v>843</v>
      </c>
      <c r="DE25" s="275" t="s">
        <v>392</v>
      </c>
      <c r="DF25" s="285" t="s">
        <v>56</v>
      </c>
      <c r="DG25" s="285" t="s">
        <v>56</v>
      </c>
      <c r="DH25" s="285" t="s">
        <v>56</v>
      </c>
      <c r="DI25" s="285" t="s">
        <v>56</v>
      </c>
      <c r="DJ25" s="271" t="s">
        <v>363</v>
      </c>
      <c r="DK25" s="272" t="s">
        <v>358</v>
      </c>
      <c r="DL25" s="271" t="s">
        <v>350</v>
      </c>
      <c r="DM25" s="271" t="s">
        <v>363</v>
      </c>
      <c r="DN25" s="272" t="s">
        <v>481</v>
      </c>
      <c r="DO25" s="520" t="s">
        <v>835</v>
      </c>
      <c r="DP25" s="520"/>
      <c r="DQ25" s="527" t="s">
        <v>857</v>
      </c>
      <c r="DR25" s="531" t="s">
        <v>858</v>
      </c>
      <c r="DS25" s="271" t="s">
        <v>529</v>
      </c>
      <c r="DT25" s="105"/>
      <c r="DU25" s="28"/>
      <c r="DV25" s="28"/>
      <c r="DW25" s="28"/>
      <c r="DX25" s="28"/>
      <c r="DY25" s="28"/>
      <c r="DZ25" s="28"/>
      <c r="EA25" s="28"/>
      <c r="EB25" s="28"/>
    </row>
    <row r="26" spans="1:132" ht="229.5" customHeight="1" x14ac:dyDescent="0.2">
      <c r="A26" s="756"/>
      <c r="B26" s="583" t="s">
        <v>841</v>
      </c>
      <c r="C26" s="84"/>
      <c r="D26" s="235"/>
      <c r="E26" s="433" t="s">
        <v>960</v>
      </c>
      <c r="F26" s="512" t="s">
        <v>94</v>
      </c>
      <c r="G26" s="431"/>
      <c r="H26" s="509" t="s">
        <v>86</v>
      </c>
      <c r="I26" s="510" t="s">
        <v>775</v>
      </c>
      <c r="J26" s="511" t="s">
        <v>490</v>
      </c>
      <c r="K26" s="259"/>
      <c r="L26" s="512" t="s">
        <v>9</v>
      </c>
      <c r="M26" s="308" t="s">
        <v>77</v>
      </c>
      <c r="N26" s="301"/>
      <c r="O26" s="11"/>
      <c r="P26" s="303"/>
      <c r="Q26" s="141">
        <f>$Q$113</f>
        <v>0.75</v>
      </c>
      <c r="R26" s="141">
        <f>$R$113</f>
        <v>0.5</v>
      </c>
      <c r="S26" s="4"/>
      <c r="T26" s="4"/>
      <c r="U26" s="324"/>
      <c r="V26" s="324"/>
      <c r="W26" s="189"/>
      <c r="X26" s="51"/>
      <c r="Y26" s="265"/>
      <c r="Z26" s="265"/>
      <c r="AA26" s="585">
        <v>90</v>
      </c>
      <c r="AB26" s="585">
        <v>350</v>
      </c>
      <c r="AC26" s="585" t="s">
        <v>132</v>
      </c>
      <c r="AD26" s="145"/>
      <c r="AE26" s="145"/>
      <c r="AF26" s="145"/>
      <c r="AG26" s="145"/>
      <c r="AH26" s="76"/>
      <c r="AI26" s="76"/>
      <c r="AJ26" s="76"/>
      <c r="AK26" s="76"/>
      <c r="AL26" s="76"/>
      <c r="AM26" s="76"/>
      <c r="AN26" s="104"/>
      <c r="AO26" s="76"/>
      <c r="AP26" s="76"/>
      <c r="AQ26" s="76"/>
      <c r="AR26" s="76"/>
      <c r="AS26" s="76"/>
      <c r="AT26" s="76"/>
      <c r="AU26" s="76"/>
      <c r="AV26" s="76"/>
      <c r="AW26" s="76"/>
      <c r="AX26" s="76"/>
      <c r="AY26" s="326"/>
      <c r="AZ26" s="51"/>
      <c r="BA26" s="51"/>
      <c r="BB26" s="327"/>
      <c r="BC26" s="76"/>
      <c r="BD26" s="76"/>
      <c r="BE26" s="76"/>
      <c r="BF26" s="76"/>
      <c r="BG26" s="76"/>
      <c r="BH26" s="76"/>
      <c r="BI26" s="4"/>
      <c r="BJ26" s="76"/>
      <c r="BK26" s="76"/>
      <c r="BL26" s="111"/>
      <c r="BM26" s="4"/>
      <c r="BN26" s="4"/>
      <c r="BO26" s="4"/>
      <c r="BP26" s="4"/>
      <c r="BQ26" s="324"/>
      <c r="BR26" s="324"/>
      <c r="BS26" s="324"/>
      <c r="BT26" s="324"/>
      <c r="BU26" s="76"/>
      <c r="BV26" s="111"/>
      <c r="BW26" s="88"/>
      <c r="BX26" s="89"/>
      <c r="BY26" s="89"/>
      <c r="BZ26" s="89"/>
      <c r="CA26" s="89"/>
      <c r="CB26" s="89"/>
      <c r="CC26" s="89"/>
      <c r="CD26" s="89"/>
      <c r="CE26" s="89"/>
      <c r="CF26" s="89"/>
      <c r="CG26" s="89"/>
      <c r="CH26" s="89"/>
      <c r="CI26" s="41"/>
      <c r="CJ26" s="41"/>
      <c r="CK26" s="41"/>
      <c r="CL26" s="41"/>
      <c r="CM26" s="346"/>
      <c r="CN26" s="204"/>
      <c r="CO26" s="204"/>
      <c r="CP26" s="204"/>
      <c r="CQ26" s="204"/>
      <c r="CR26" s="204"/>
      <c r="CS26" s="204"/>
      <c r="CT26" s="204"/>
      <c r="CU26" s="204"/>
      <c r="CV26" s="204"/>
      <c r="CW26" s="204"/>
      <c r="CX26" s="204"/>
      <c r="CY26" s="429"/>
      <c r="CZ26" s="428" t="s">
        <v>57</v>
      </c>
      <c r="DA26" s="428" t="s">
        <v>56</v>
      </c>
      <c r="DB26" s="516" t="s">
        <v>786</v>
      </c>
      <c r="DC26" s="428" t="s">
        <v>56</v>
      </c>
      <c r="DD26" s="510" t="s">
        <v>844</v>
      </c>
      <c r="DE26" s="510" t="s">
        <v>790</v>
      </c>
      <c r="DF26" s="428" t="s">
        <v>56</v>
      </c>
      <c r="DG26" s="428" t="s">
        <v>56</v>
      </c>
      <c r="DH26" s="428" t="s">
        <v>56</v>
      </c>
      <c r="DI26" s="428" t="s">
        <v>56</v>
      </c>
      <c r="DJ26" s="430"/>
      <c r="DK26" s="431"/>
      <c r="DL26" s="430"/>
      <c r="DM26" s="430"/>
      <c r="DN26" s="431"/>
      <c r="DO26" s="520" t="s">
        <v>835</v>
      </c>
      <c r="DP26" s="520"/>
      <c r="DQ26" s="527" t="s">
        <v>859</v>
      </c>
      <c r="DR26" s="531" t="s">
        <v>860</v>
      </c>
      <c r="DS26" s="430"/>
      <c r="DT26" s="105"/>
      <c r="DU26" s="28"/>
      <c r="DV26" s="28"/>
      <c r="DW26" s="28"/>
      <c r="DX26" s="28"/>
      <c r="DY26" s="28"/>
      <c r="DZ26" s="28"/>
      <c r="EA26" s="28"/>
      <c r="EB26" s="28"/>
    </row>
    <row r="27" spans="1:132" ht="296.25" customHeight="1" x14ac:dyDescent="0.2">
      <c r="A27" s="756"/>
      <c r="B27" s="12" t="s">
        <v>387</v>
      </c>
      <c r="C27" s="84"/>
      <c r="D27" s="235">
        <v>203</v>
      </c>
      <c r="E27" s="271" t="s">
        <v>820</v>
      </c>
      <c r="F27" s="272" t="s">
        <v>94</v>
      </c>
      <c r="G27" s="272" t="s">
        <v>371</v>
      </c>
      <c r="H27" s="276" t="s">
        <v>86</v>
      </c>
      <c r="I27" s="275" t="s">
        <v>775</v>
      </c>
      <c r="J27" s="271" t="s">
        <v>389</v>
      </c>
      <c r="K27" s="259" t="s">
        <v>587</v>
      </c>
      <c r="L27" s="272" t="s">
        <v>9</v>
      </c>
      <c r="M27" s="308" t="s">
        <v>77</v>
      </c>
      <c r="N27" s="301">
        <v>1</v>
      </c>
      <c r="O27" s="11" t="s">
        <v>77</v>
      </c>
      <c r="P27" s="303" t="s">
        <v>77</v>
      </c>
      <c r="Q27" s="141">
        <f>$Q$113</f>
        <v>0.75</v>
      </c>
      <c r="R27" s="141">
        <f>$R$113</f>
        <v>0.5</v>
      </c>
      <c r="S27" s="4">
        <v>8</v>
      </c>
      <c r="T27" s="4">
        <v>15</v>
      </c>
      <c r="U27" s="324">
        <v>0</v>
      </c>
      <c r="V27" s="324">
        <v>0</v>
      </c>
      <c r="W27" s="189">
        <f t="shared" ref="W27:W37" si="114">($Q$53-($Q$53*(($T$53+$S$53)/2)/100)-(Q27-(Q27*((T27+S27)/2)/100)))/($Q$53-($Q$53*(($T$53+$S$53)/2)/100))</f>
        <v>0.97471428571428576</v>
      </c>
      <c r="X27" s="51" t="s">
        <v>77</v>
      </c>
      <c r="Y27" s="265">
        <f>$W$115*N27</f>
        <v>440</v>
      </c>
      <c r="Z27" s="265">
        <f>$X$115*N27</f>
        <v>660</v>
      </c>
      <c r="AA27" s="145">
        <f t="shared" si="37"/>
        <v>199.584</v>
      </c>
      <c r="AB27" s="145">
        <f>Z27*0.4536</f>
        <v>299.37599999999998</v>
      </c>
      <c r="AC27" s="145">
        <f>(AA27+AB27)/2</f>
        <v>249.48</v>
      </c>
      <c r="AD27" s="145">
        <v>0</v>
      </c>
      <c r="AE27" s="145">
        <v>0</v>
      </c>
      <c r="AF27" s="145">
        <f t="shared" si="106"/>
        <v>0</v>
      </c>
      <c r="AG27" s="145">
        <f t="shared" si="106"/>
        <v>0</v>
      </c>
      <c r="AH27" s="76">
        <v>25000</v>
      </c>
      <c r="AI27" s="76">
        <v>50000</v>
      </c>
      <c r="AJ27" s="76">
        <f t="shared" si="48"/>
        <v>37500</v>
      </c>
      <c r="AK27" s="76">
        <f t="shared" ref="AK27:AM28" si="115">AH27*($AA$109/$AA$107)</f>
        <v>25000</v>
      </c>
      <c r="AL27" s="76">
        <f t="shared" si="115"/>
        <v>50000</v>
      </c>
      <c r="AM27" s="76">
        <f t="shared" si="115"/>
        <v>37500</v>
      </c>
      <c r="AN27" s="104">
        <v>0.5</v>
      </c>
      <c r="AO27" s="76">
        <v>0</v>
      </c>
      <c r="AP27" s="76">
        <f t="shared" si="51"/>
        <v>35000</v>
      </c>
      <c r="AQ27" s="76">
        <f t="shared" si="52"/>
        <v>70000</v>
      </c>
      <c r="AR27" s="76">
        <f t="shared" si="53"/>
        <v>52500</v>
      </c>
      <c r="AS27" s="76">
        <v>0</v>
      </c>
      <c r="AT27" s="76">
        <v>10000</v>
      </c>
      <c r="AU27" s="76">
        <f t="shared" si="59"/>
        <v>5000</v>
      </c>
      <c r="AV27" s="76">
        <f t="shared" ref="AV27:AX28" si="116">AS27*($AA$109/$AA$107)</f>
        <v>0</v>
      </c>
      <c r="AW27" s="76">
        <f t="shared" si="116"/>
        <v>10000</v>
      </c>
      <c r="AX27" s="76">
        <f t="shared" si="116"/>
        <v>5000</v>
      </c>
      <c r="AY27" s="326">
        <v>0.75</v>
      </c>
      <c r="AZ27" s="51">
        <v>0.2</v>
      </c>
      <c r="BA27" s="51">
        <v>0.1</v>
      </c>
      <c r="BB27" s="327" t="s">
        <v>292</v>
      </c>
      <c r="BC27" s="76">
        <f t="shared" si="107"/>
        <v>42000</v>
      </c>
      <c r="BD27" s="76">
        <f t="shared" si="107"/>
        <v>84000</v>
      </c>
      <c r="BE27" s="76">
        <f t="shared" si="42"/>
        <v>63000</v>
      </c>
      <c r="BF27" s="76">
        <f t="shared" si="108"/>
        <v>0</v>
      </c>
      <c r="BG27" s="76">
        <f t="shared" si="108"/>
        <v>11000</v>
      </c>
      <c r="BH27" s="76">
        <f t="shared" si="7"/>
        <v>5500</v>
      </c>
      <c r="BI27" s="4">
        <v>20</v>
      </c>
      <c r="BJ27" s="76">
        <f t="shared" si="109"/>
        <v>15750</v>
      </c>
      <c r="BK27" s="76">
        <f t="shared" si="8"/>
        <v>15750</v>
      </c>
      <c r="BL27" s="111">
        <f t="shared" si="43"/>
        <v>0</v>
      </c>
      <c r="BM27" s="4">
        <f t="shared" si="9"/>
        <v>11000</v>
      </c>
      <c r="BN27" s="4">
        <f t="shared" si="57"/>
        <v>4989.6000000000004</v>
      </c>
      <c r="BO27" s="4">
        <f t="shared" si="10"/>
        <v>0</v>
      </c>
      <c r="BP27" s="4">
        <f t="shared" si="58"/>
        <v>0</v>
      </c>
      <c r="BQ27" s="324">
        <f t="shared" ref="BQ27:BQ37" si="117">IF($Q27&lt;$W$122,BM27,(BM27-((BM27/$Q27)*($Q27-$W$122))))</f>
        <v>11000</v>
      </c>
      <c r="BR27" s="324">
        <f t="shared" ref="BR27:BR37" si="118">IF($Q27&lt;$W$122,BN27,(BN27-((BN27/$Q27)*($Q27-$W$122))))</f>
        <v>4989.6000000000004</v>
      </c>
      <c r="BS27" s="324">
        <f t="shared" ref="BS27:BS37" si="119">IF($R27&lt;$X$122,BO27,(BO27-((BO27/$R27)*($R27-$X$122))))</f>
        <v>0</v>
      </c>
      <c r="BT27" s="324">
        <f t="shared" ref="BT27:BT37" si="120">IF($R27&lt;$X$122,BP27,(BP27-((BP27/$R27)*($R27-$X$122))))</f>
        <v>0</v>
      </c>
      <c r="BU27" s="76" t="str">
        <f t="shared" si="15"/>
        <v>N/A</v>
      </c>
      <c r="BV27" s="111">
        <f t="shared" si="16"/>
        <v>42.312729578647186</v>
      </c>
      <c r="BW27" s="88">
        <f t="shared" si="17"/>
        <v>5.7272727272727275</v>
      </c>
      <c r="BX27" s="89">
        <f t="shared" si="18"/>
        <v>6.2311051712699923</v>
      </c>
      <c r="BY27" s="89">
        <f t="shared" si="19"/>
        <v>11.95837789854272</v>
      </c>
      <c r="BZ27" s="89">
        <f t="shared" si="20"/>
        <v>12.626262626262625</v>
      </c>
      <c r="CA27" s="89">
        <f t="shared" si="21"/>
        <v>13.737004345833316</v>
      </c>
      <c r="CB27" s="89">
        <f t="shared" si="22"/>
        <v>26.363266972095943</v>
      </c>
      <c r="CC27" s="89">
        <f t="shared" si="23"/>
        <v>0</v>
      </c>
      <c r="CD27" s="89">
        <f t="shared" si="24"/>
        <v>0</v>
      </c>
      <c r="CE27" s="89">
        <f t="shared" si="25"/>
        <v>0</v>
      </c>
      <c r="CF27" s="89">
        <f t="shared" si="26"/>
        <v>0</v>
      </c>
      <c r="CG27" s="89">
        <f t="shared" si="27"/>
        <v>0</v>
      </c>
      <c r="CH27" s="89">
        <f t="shared" si="28"/>
        <v>0</v>
      </c>
      <c r="CI27" s="41">
        <f t="shared" si="110"/>
        <v>63.636363636363633</v>
      </c>
      <c r="CJ27" s="41">
        <f t="shared" si="111"/>
        <v>502.46434947259053</v>
      </c>
      <c r="CK27" s="41">
        <f t="shared" si="112"/>
        <v>0</v>
      </c>
      <c r="CL27" s="41">
        <f t="shared" si="113"/>
        <v>0</v>
      </c>
      <c r="CM27" s="346">
        <f t="shared" si="29"/>
        <v>5.7272727272727275</v>
      </c>
      <c r="CN27" s="204">
        <f t="shared" si="30"/>
        <v>6.2311051712699923</v>
      </c>
      <c r="CO27" s="204">
        <f t="shared" si="44"/>
        <v>11.95837789854272</v>
      </c>
      <c r="CP27" s="204">
        <f t="shared" si="31"/>
        <v>12.626262626262625</v>
      </c>
      <c r="CQ27" s="204">
        <f t="shared" si="32"/>
        <v>13.737004345833316</v>
      </c>
      <c r="CR27" s="204">
        <f t="shared" si="45"/>
        <v>26.363266972095943</v>
      </c>
      <c r="CS27" s="204">
        <f t="shared" si="33"/>
        <v>0</v>
      </c>
      <c r="CT27" s="204">
        <f t="shared" si="34"/>
        <v>0</v>
      </c>
      <c r="CU27" s="204">
        <f t="shared" si="46"/>
        <v>0</v>
      </c>
      <c r="CV27" s="204">
        <f t="shared" si="35"/>
        <v>0</v>
      </c>
      <c r="CW27" s="204">
        <f t="shared" si="36"/>
        <v>0</v>
      </c>
      <c r="CX27" s="204">
        <f t="shared" si="47"/>
        <v>0</v>
      </c>
      <c r="CY27" s="286" t="s">
        <v>118</v>
      </c>
      <c r="CZ27" s="285" t="s">
        <v>57</v>
      </c>
      <c r="DA27" s="285" t="s">
        <v>57</v>
      </c>
      <c r="DB27" s="285" t="s">
        <v>332</v>
      </c>
      <c r="DC27" s="285" t="s">
        <v>56</v>
      </c>
      <c r="DD27" s="510" t="s">
        <v>391</v>
      </c>
      <c r="DE27" s="510" t="s">
        <v>794</v>
      </c>
      <c r="DF27" s="285" t="s">
        <v>56</v>
      </c>
      <c r="DG27" s="285" t="s">
        <v>56</v>
      </c>
      <c r="DH27" s="285" t="s">
        <v>56</v>
      </c>
      <c r="DI27" s="285" t="s">
        <v>56</v>
      </c>
      <c r="DJ27" s="271" t="s">
        <v>363</v>
      </c>
      <c r="DK27" s="272" t="s">
        <v>358</v>
      </c>
      <c r="DL27" s="271" t="s">
        <v>350</v>
      </c>
      <c r="DM27" s="271" t="s">
        <v>363</v>
      </c>
      <c r="DN27" s="272" t="s">
        <v>481</v>
      </c>
      <c r="DO27" s="520" t="s">
        <v>834</v>
      </c>
      <c r="DP27" s="520"/>
      <c r="DQ27" s="527" t="s">
        <v>861</v>
      </c>
      <c r="DR27" s="531" t="s">
        <v>845</v>
      </c>
      <c r="DS27" s="271" t="s">
        <v>441</v>
      </c>
      <c r="DT27" s="105"/>
      <c r="DU27" s="28"/>
      <c r="DV27" s="28"/>
      <c r="DW27" s="28"/>
      <c r="DX27" s="28"/>
      <c r="DY27" s="28"/>
      <c r="DZ27" s="28"/>
      <c r="EA27" s="28"/>
      <c r="EB27" s="28"/>
    </row>
    <row r="28" spans="1:132" ht="189" customHeight="1" x14ac:dyDescent="0.2">
      <c r="A28" s="756"/>
      <c r="B28" s="12" t="s">
        <v>20</v>
      </c>
      <c r="C28" s="84"/>
      <c r="D28" s="235">
        <v>204</v>
      </c>
      <c r="E28" s="271" t="s">
        <v>822</v>
      </c>
      <c r="F28" s="272" t="s">
        <v>96</v>
      </c>
      <c r="G28" s="272" t="s">
        <v>372</v>
      </c>
      <c r="H28" s="276" t="s">
        <v>86</v>
      </c>
      <c r="I28" s="275" t="s">
        <v>776</v>
      </c>
      <c r="J28" s="271" t="s">
        <v>97</v>
      </c>
      <c r="K28" s="259" t="s">
        <v>609</v>
      </c>
      <c r="L28" s="272" t="s">
        <v>9</v>
      </c>
      <c r="M28" s="309">
        <f>N28*10000</f>
        <v>10000</v>
      </c>
      <c r="N28" s="301">
        <v>1</v>
      </c>
      <c r="O28" s="11" t="s">
        <v>77</v>
      </c>
      <c r="P28" s="303" t="s">
        <v>77</v>
      </c>
      <c r="Q28" s="139">
        <v>6</v>
      </c>
      <c r="R28" s="99">
        <f>$R$110</f>
        <v>2</v>
      </c>
      <c r="S28" s="4">
        <v>50</v>
      </c>
      <c r="T28" s="4">
        <v>90</v>
      </c>
      <c r="U28" s="4">
        <v>20</v>
      </c>
      <c r="V28" s="4">
        <v>60</v>
      </c>
      <c r="W28" s="189">
        <f t="shared" si="114"/>
        <v>0.93142857142857138</v>
      </c>
      <c r="X28" s="51" t="s">
        <v>373</v>
      </c>
      <c r="Y28" s="265">
        <f t="shared" ref="Y28:Y45" si="121">((($Q28)*($S28/100))*(8.34*($M28/1000000)))*365</f>
        <v>91.322999999999993</v>
      </c>
      <c r="Z28" s="265">
        <f t="shared" ref="Z28:Z45" si="122">((($Q28)*($T28/100))*(8.34*($M28/1000000)))*365</f>
        <v>164.38140000000001</v>
      </c>
      <c r="AA28" s="145">
        <f t="shared" si="37"/>
        <v>41.424112799999996</v>
      </c>
      <c r="AB28" s="145">
        <f>Z28*0.4536</f>
        <v>74.563403040000011</v>
      </c>
      <c r="AC28" s="145">
        <f>(AA28+AB28)/2</f>
        <v>57.993757920000007</v>
      </c>
      <c r="AD28" s="145">
        <f t="shared" ref="AD28:AD45" si="123">((($R28)*($U28/100))*(8.34*($M28/1000000)))*365</f>
        <v>12.176400000000001</v>
      </c>
      <c r="AE28" s="145">
        <f t="shared" ref="AE28:AE45" si="124">((($R28)*($V28/100))*(8.34*($M28/1000000)))*365</f>
        <v>36.529200000000003</v>
      </c>
      <c r="AF28" s="145">
        <f t="shared" si="106"/>
        <v>5.5232150400000002</v>
      </c>
      <c r="AG28" s="145">
        <f t="shared" si="106"/>
        <v>16.569645120000001</v>
      </c>
      <c r="AH28" s="76">
        <v>10000</v>
      </c>
      <c r="AI28" s="76">
        <v>20000</v>
      </c>
      <c r="AJ28" s="76">
        <f t="shared" si="48"/>
        <v>15000</v>
      </c>
      <c r="AK28" s="76">
        <f t="shared" si="115"/>
        <v>10000</v>
      </c>
      <c r="AL28" s="76">
        <f t="shared" si="115"/>
        <v>20000</v>
      </c>
      <c r="AM28" s="76">
        <f t="shared" si="115"/>
        <v>15000</v>
      </c>
      <c r="AN28" s="104">
        <v>0.4</v>
      </c>
      <c r="AO28" s="76">
        <f>$AA$121</f>
        <v>250000</v>
      </c>
      <c r="AP28" s="76">
        <f t="shared" si="51"/>
        <v>264000</v>
      </c>
      <c r="AQ28" s="76">
        <f t="shared" si="52"/>
        <v>278000</v>
      </c>
      <c r="AR28" s="76">
        <f t="shared" si="53"/>
        <v>271000</v>
      </c>
      <c r="AS28" s="76">
        <v>5000</v>
      </c>
      <c r="AT28" s="76">
        <v>7500</v>
      </c>
      <c r="AU28" s="76">
        <f t="shared" si="59"/>
        <v>6250</v>
      </c>
      <c r="AV28" s="76">
        <f t="shared" si="116"/>
        <v>5000</v>
      </c>
      <c r="AW28" s="76">
        <f t="shared" si="116"/>
        <v>7500</v>
      </c>
      <c r="AX28" s="76">
        <f t="shared" si="116"/>
        <v>6250</v>
      </c>
      <c r="AY28" s="326">
        <v>0.75</v>
      </c>
      <c r="AZ28" s="51">
        <v>0.2</v>
      </c>
      <c r="BA28" s="51">
        <v>0.1</v>
      </c>
      <c r="BB28" s="327" t="s">
        <v>292</v>
      </c>
      <c r="BC28" s="76">
        <f t="shared" si="107"/>
        <v>316800</v>
      </c>
      <c r="BD28" s="76">
        <f t="shared" si="107"/>
        <v>333600</v>
      </c>
      <c r="BE28" s="76">
        <f t="shared" si="42"/>
        <v>325200</v>
      </c>
      <c r="BF28" s="76">
        <f t="shared" si="108"/>
        <v>5500</v>
      </c>
      <c r="BG28" s="76">
        <f t="shared" si="108"/>
        <v>8250</v>
      </c>
      <c r="BH28" s="76">
        <f t="shared" si="7"/>
        <v>6875.0000000000009</v>
      </c>
      <c r="BI28" s="4">
        <v>20</v>
      </c>
      <c r="BJ28" s="76">
        <f t="shared" si="109"/>
        <v>81300</v>
      </c>
      <c r="BK28" s="76">
        <f t="shared" si="8"/>
        <v>81300</v>
      </c>
      <c r="BL28" s="111">
        <f t="shared" si="43"/>
        <v>0</v>
      </c>
      <c r="BM28" s="4">
        <f t="shared" si="9"/>
        <v>2557.0440000000003</v>
      </c>
      <c r="BN28" s="4">
        <f t="shared" si="57"/>
        <v>1159.8751584000001</v>
      </c>
      <c r="BO28" s="4">
        <f t="shared" si="10"/>
        <v>487.05600000000004</v>
      </c>
      <c r="BP28" s="4">
        <f t="shared" si="58"/>
        <v>220.92860160000001</v>
      </c>
      <c r="BQ28" s="324">
        <f t="shared" si="117"/>
        <v>2557.0440000000003</v>
      </c>
      <c r="BR28" s="324">
        <f t="shared" si="118"/>
        <v>1159.8751584000001</v>
      </c>
      <c r="BS28" s="324">
        <f t="shared" si="119"/>
        <v>487.05600000000004</v>
      </c>
      <c r="BT28" s="324">
        <f t="shared" si="120"/>
        <v>220.92860160000001</v>
      </c>
      <c r="BU28" s="76" t="str">
        <f t="shared" si="15"/>
        <v>N/A</v>
      </c>
      <c r="BV28" s="111">
        <f t="shared" si="16"/>
        <v>568.58737287823294</v>
      </c>
      <c r="BW28" s="88">
        <f t="shared" si="17"/>
        <v>127.17810096345623</v>
      </c>
      <c r="BX28" s="89">
        <f t="shared" si="18"/>
        <v>33.506539623472413</v>
      </c>
      <c r="BY28" s="89">
        <f t="shared" si="19"/>
        <v>160.68464058692865</v>
      </c>
      <c r="BZ28" s="89">
        <f t="shared" si="20"/>
        <v>280.37500212402165</v>
      </c>
      <c r="CA28" s="89">
        <f t="shared" si="21"/>
        <v>73.868032679612909</v>
      </c>
      <c r="CB28" s="89">
        <f t="shared" si="22"/>
        <v>354.24303480363454</v>
      </c>
      <c r="CC28" s="89">
        <f t="shared" si="23"/>
        <v>667.68503005814523</v>
      </c>
      <c r="CD28" s="89">
        <f t="shared" si="24"/>
        <v>175.90933302323018</v>
      </c>
      <c r="CE28" s="89">
        <f t="shared" si="25"/>
        <v>843.59436308137538</v>
      </c>
      <c r="CF28" s="89">
        <f t="shared" si="26"/>
        <v>1471.9687611511138</v>
      </c>
      <c r="CG28" s="89">
        <f t="shared" si="27"/>
        <v>387.80717156796777</v>
      </c>
      <c r="CH28" s="89">
        <f t="shared" si="28"/>
        <v>1859.7759327190815</v>
      </c>
      <c r="CI28" s="41">
        <f t="shared" si="110"/>
        <v>2344.1956138831392</v>
      </c>
      <c r="CJ28" s="41">
        <f t="shared" si="111"/>
        <v>4778.7877678783543</v>
      </c>
      <c r="CK28" s="41">
        <f t="shared" si="112"/>
        <v>10548.880262474127</v>
      </c>
      <c r="CL28" s="41">
        <f t="shared" si="113"/>
        <v>35840.90825908765</v>
      </c>
      <c r="CM28" s="346">
        <f t="shared" si="29"/>
        <v>127.17810096345623</v>
      </c>
      <c r="CN28" s="204">
        <f t="shared" si="30"/>
        <v>33.506539623472413</v>
      </c>
      <c r="CO28" s="204">
        <f t="shared" si="44"/>
        <v>160.68464058692865</v>
      </c>
      <c r="CP28" s="204">
        <f t="shared" si="31"/>
        <v>280.37500212402165</v>
      </c>
      <c r="CQ28" s="204">
        <f t="shared" si="32"/>
        <v>73.868032679612909</v>
      </c>
      <c r="CR28" s="204">
        <f t="shared" si="45"/>
        <v>354.24303480363454</v>
      </c>
      <c r="CS28" s="204">
        <f t="shared" si="33"/>
        <v>667.68503005814523</v>
      </c>
      <c r="CT28" s="204">
        <f t="shared" si="34"/>
        <v>175.90933302323018</v>
      </c>
      <c r="CU28" s="204">
        <f t="shared" si="46"/>
        <v>843.59436308137538</v>
      </c>
      <c r="CV28" s="204">
        <f t="shared" si="35"/>
        <v>1471.9687611511138</v>
      </c>
      <c r="CW28" s="204">
        <f t="shared" si="36"/>
        <v>387.80717156796777</v>
      </c>
      <c r="CX28" s="204">
        <f t="shared" si="47"/>
        <v>1859.7759327190815</v>
      </c>
      <c r="CY28" s="286" t="s">
        <v>118</v>
      </c>
      <c r="CZ28" s="285" t="s">
        <v>57</v>
      </c>
      <c r="DA28" s="285" t="s">
        <v>57</v>
      </c>
      <c r="DB28" s="285" t="s">
        <v>331</v>
      </c>
      <c r="DC28" s="285" t="s">
        <v>56</v>
      </c>
      <c r="DD28" s="510" t="s">
        <v>277</v>
      </c>
      <c r="DE28" s="511" t="s">
        <v>793</v>
      </c>
      <c r="DF28" s="285" t="s">
        <v>56</v>
      </c>
      <c r="DG28" s="285" t="s">
        <v>56</v>
      </c>
      <c r="DH28" s="285" t="s">
        <v>56</v>
      </c>
      <c r="DI28" s="285" t="s">
        <v>56</v>
      </c>
      <c r="DJ28" s="271" t="s">
        <v>364</v>
      </c>
      <c r="DK28" s="272" t="s">
        <v>358</v>
      </c>
      <c r="DL28" s="271" t="s">
        <v>350</v>
      </c>
      <c r="DM28" s="271" t="s">
        <v>364</v>
      </c>
      <c r="DN28" s="272" t="s">
        <v>481</v>
      </c>
      <c r="DO28" s="520" t="s">
        <v>834</v>
      </c>
      <c r="DP28" s="520"/>
      <c r="DQ28" s="527" t="s">
        <v>862</v>
      </c>
      <c r="DR28" s="531" t="s">
        <v>863</v>
      </c>
      <c r="DS28" s="271" t="s">
        <v>98</v>
      </c>
      <c r="DT28" s="105"/>
      <c r="DU28" s="28"/>
      <c r="DV28" s="28"/>
      <c r="DW28" s="28"/>
      <c r="DX28" s="28"/>
      <c r="DY28" s="28"/>
      <c r="DZ28" s="28"/>
      <c r="EA28" s="28"/>
      <c r="EB28" s="28"/>
    </row>
    <row r="29" spans="1:132" ht="322.5" customHeight="1" x14ac:dyDescent="0.2">
      <c r="A29" s="756"/>
      <c r="B29" s="583" t="s">
        <v>559</v>
      </c>
      <c r="C29" s="84"/>
      <c r="D29" s="235">
        <v>205</v>
      </c>
      <c r="E29" s="271" t="s">
        <v>961</v>
      </c>
      <c r="F29" s="272" t="s">
        <v>96</v>
      </c>
      <c r="G29" s="272" t="s">
        <v>95</v>
      </c>
      <c r="H29" s="276" t="s">
        <v>12</v>
      </c>
      <c r="I29" s="275" t="s">
        <v>777</v>
      </c>
      <c r="J29" s="584" t="s">
        <v>774</v>
      </c>
      <c r="K29" s="259" t="s">
        <v>588</v>
      </c>
      <c r="L29" s="272" t="s">
        <v>10</v>
      </c>
      <c r="M29" s="308">
        <v>225</v>
      </c>
      <c r="N29" s="302" t="s">
        <v>77</v>
      </c>
      <c r="O29" s="300">
        <v>1</v>
      </c>
      <c r="P29" s="303" t="s">
        <v>77</v>
      </c>
      <c r="Q29" s="141">
        <v>2.75</v>
      </c>
      <c r="R29" s="266">
        <f>$U$113</f>
        <v>1</v>
      </c>
      <c r="S29" s="4">
        <v>70</v>
      </c>
      <c r="T29" s="4">
        <v>75</v>
      </c>
      <c r="U29" s="4">
        <v>50</v>
      </c>
      <c r="V29" s="4">
        <v>95</v>
      </c>
      <c r="W29" s="189">
        <f t="shared" si="114"/>
        <v>0.97119047619047616</v>
      </c>
      <c r="X29" s="51" t="s">
        <v>373</v>
      </c>
      <c r="Y29" s="265">
        <f t="shared" si="121"/>
        <v>1.3184758124999998</v>
      </c>
      <c r="Z29" s="265">
        <f t="shared" si="122"/>
        <v>1.4126526562499999</v>
      </c>
      <c r="AA29" s="145">
        <f t="shared" si="37"/>
        <v>0.59806062854999986</v>
      </c>
      <c r="AB29" s="145">
        <f t="shared" ref="AB29:AB36" si="125">Z29*0.4536</f>
        <v>0.64077924487499993</v>
      </c>
      <c r="AC29" s="145">
        <f t="shared" ref="AC29:AC36" si="126">(AA29+AB29)/2</f>
        <v>0.61941993671249995</v>
      </c>
      <c r="AD29" s="145">
        <f t="shared" si="123"/>
        <v>0.34246124999999999</v>
      </c>
      <c r="AE29" s="145">
        <f t="shared" si="124"/>
        <v>0.65067637499999997</v>
      </c>
      <c r="AF29" s="145">
        <f t="shared" ref="AF29:AF36" si="127">AD29*0.4536</f>
        <v>0.15534042300000001</v>
      </c>
      <c r="AG29" s="145">
        <f t="shared" ref="AG29:AG36" si="128">AE29*0.4536</f>
        <v>0.29514680370000002</v>
      </c>
      <c r="AH29" s="76"/>
      <c r="AI29" s="76"/>
      <c r="AJ29" s="111">
        <v>650</v>
      </c>
      <c r="AK29" s="76"/>
      <c r="AL29" s="76"/>
      <c r="AM29" s="76">
        <f t="shared" ref="AM29:AM37" si="129">AJ29*($AA$109/$AA$107)</f>
        <v>650</v>
      </c>
      <c r="AN29" s="104">
        <v>0.3</v>
      </c>
      <c r="AO29" s="76">
        <v>0</v>
      </c>
      <c r="AP29" s="76"/>
      <c r="AQ29" s="76"/>
      <c r="AR29" s="76">
        <f>(AM29*(1+$AN$2))+AO29</f>
        <v>909.99999999999989</v>
      </c>
      <c r="AS29" s="76"/>
      <c r="AT29" s="76"/>
      <c r="AU29" s="111">
        <v>200</v>
      </c>
      <c r="AV29" s="76" t="s">
        <v>643</v>
      </c>
      <c r="AW29" s="76"/>
      <c r="AX29" s="76">
        <f t="shared" ref="AX29:AX37" si="130">AU29*($AA$109/$AA$107)</f>
        <v>200</v>
      </c>
      <c r="AY29" s="326">
        <v>0.75</v>
      </c>
      <c r="AZ29" s="51">
        <v>0.2</v>
      </c>
      <c r="BA29" s="51">
        <v>0.1</v>
      </c>
      <c r="BB29" s="327" t="s">
        <v>292</v>
      </c>
      <c r="BC29" s="76"/>
      <c r="BD29" s="76"/>
      <c r="BE29" s="76">
        <f t="shared" si="42"/>
        <v>1091.9999999999998</v>
      </c>
      <c r="BF29" s="76"/>
      <c r="BG29" s="76"/>
      <c r="BH29" s="76">
        <f t="shared" si="7"/>
        <v>220.00000000000003</v>
      </c>
      <c r="BI29" s="4">
        <v>20</v>
      </c>
      <c r="BJ29" s="76">
        <f t="shared" si="109"/>
        <v>272.99999999999994</v>
      </c>
      <c r="BK29" s="76">
        <f t="shared" si="8"/>
        <v>272.99999999999994</v>
      </c>
      <c r="BL29" s="111">
        <f t="shared" si="43"/>
        <v>0</v>
      </c>
      <c r="BM29" s="4">
        <f t="shared" si="9"/>
        <v>27.311284687499999</v>
      </c>
      <c r="BN29" s="4">
        <f>BM29*0.4536</f>
        <v>12.38839873425</v>
      </c>
      <c r="BO29" s="4">
        <f t="shared" si="10"/>
        <v>9.9313762499999996</v>
      </c>
      <c r="BP29" s="4">
        <f>BO29*0.4536</f>
        <v>4.5048722669999997</v>
      </c>
      <c r="BQ29" s="324">
        <f t="shared" si="117"/>
        <v>27.311284687499999</v>
      </c>
      <c r="BR29" s="324">
        <f t="shared" si="118"/>
        <v>12.38839873425</v>
      </c>
      <c r="BS29" s="324">
        <f t="shared" si="119"/>
        <v>9.9313762499999996</v>
      </c>
      <c r="BT29" s="324">
        <f t="shared" si="120"/>
        <v>4.5048722669999997</v>
      </c>
      <c r="BU29" s="76" t="str">
        <f t="shared" si="15"/>
        <v>N/A</v>
      </c>
      <c r="BV29" s="111">
        <f t="shared" si="16"/>
        <v>496.65894041281359</v>
      </c>
      <c r="BW29" s="88">
        <f t="shared" si="17"/>
        <v>39.983472491127202</v>
      </c>
      <c r="BX29" s="89">
        <f t="shared" si="18"/>
        <v>100.38657304955082</v>
      </c>
      <c r="BY29" s="89">
        <f t="shared" si="19"/>
        <v>140.37004554067801</v>
      </c>
      <c r="BZ29" s="89">
        <f t="shared" si="20"/>
        <v>88.14698520971605</v>
      </c>
      <c r="CA29" s="89">
        <f t="shared" si="21"/>
        <v>221.31078714627606</v>
      </c>
      <c r="CB29" s="89">
        <f t="shared" si="22"/>
        <v>309.45777235599212</v>
      </c>
      <c r="CC29" s="89">
        <f t="shared" si="23"/>
        <v>109.95454935059981</v>
      </c>
      <c r="CD29" s="89">
        <f t="shared" si="24"/>
        <v>276.06307588626476</v>
      </c>
      <c r="CE29" s="89">
        <f t="shared" si="25"/>
        <v>386.01762523686455</v>
      </c>
      <c r="CF29" s="89">
        <f t="shared" si="26"/>
        <v>242.40420932671915</v>
      </c>
      <c r="CG29" s="89">
        <f t="shared" si="27"/>
        <v>608.6046646522592</v>
      </c>
      <c r="CH29" s="89">
        <f t="shared" si="28"/>
        <v>851.00887397897839</v>
      </c>
      <c r="CI29" s="41">
        <f t="shared" si="110"/>
        <v>0</v>
      </c>
      <c r="CJ29" s="41">
        <f t="shared" si="111"/>
        <v>0</v>
      </c>
      <c r="CK29" s="41">
        <f t="shared" si="112"/>
        <v>0</v>
      </c>
      <c r="CL29" s="41">
        <f t="shared" si="113"/>
        <v>0</v>
      </c>
      <c r="CM29" s="346">
        <f t="shared" si="29"/>
        <v>39.983472491127202</v>
      </c>
      <c r="CN29" s="204">
        <f t="shared" si="30"/>
        <v>100.38657304955082</v>
      </c>
      <c r="CO29" s="204">
        <f t="shared" si="44"/>
        <v>140.37004554067801</v>
      </c>
      <c r="CP29" s="204">
        <f t="shared" si="31"/>
        <v>88.14698520971605</v>
      </c>
      <c r="CQ29" s="204">
        <f t="shared" si="32"/>
        <v>221.31078714627606</v>
      </c>
      <c r="CR29" s="204">
        <f t="shared" si="45"/>
        <v>309.45777235599212</v>
      </c>
      <c r="CS29" s="204">
        <f t="shared" si="33"/>
        <v>109.95454935059981</v>
      </c>
      <c r="CT29" s="204">
        <f t="shared" si="34"/>
        <v>276.06307588626476</v>
      </c>
      <c r="CU29" s="204">
        <f t="shared" si="46"/>
        <v>386.01762523686455</v>
      </c>
      <c r="CV29" s="204">
        <f t="shared" si="35"/>
        <v>242.40420932671915</v>
      </c>
      <c r="CW29" s="204">
        <f t="shared" si="36"/>
        <v>608.6046646522592</v>
      </c>
      <c r="CX29" s="204">
        <f t="shared" si="47"/>
        <v>851.00887397897839</v>
      </c>
      <c r="CY29" s="286" t="s">
        <v>118</v>
      </c>
      <c r="CZ29" s="285" t="s">
        <v>57</v>
      </c>
      <c r="DA29" s="285" t="s">
        <v>57</v>
      </c>
      <c r="DB29" s="285" t="s">
        <v>331</v>
      </c>
      <c r="DC29" s="285" t="s">
        <v>56</v>
      </c>
      <c r="DD29" s="511" t="s">
        <v>792</v>
      </c>
      <c r="DE29" s="271" t="s">
        <v>442</v>
      </c>
      <c r="DF29" s="285" t="s">
        <v>57</v>
      </c>
      <c r="DG29" s="285" t="s">
        <v>57</v>
      </c>
      <c r="DH29" s="285" t="s">
        <v>56</v>
      </c>
      <c r="DI29" s="285" t="s">
        <v>56</v>
      </c>
      <c r="DJ29" s="271" t="s">
        <v>443</v>
      </c>
      <c r="DK29" s="272" t="s">
        <v>358</v>
      </c>
      <c r="DL29" s="271" t="s">
        <v>350</v>
      </c>
      <c r="DM29" s="271" t="s">
        <v>365</v>
      </c>
      <c r="DN29" s="272" t="s">
        <v>481</v>
      </c>
      <c r="DO29" s="520" t="s">
        <v>834</v>
      </c>
      <c r="DP29" s="520"/>
      <c r="DQ29" s="527" t="s">
        <v>864</v>
      </c>
      <c r="DR29" s="532" t="s">
        <v>865</v>
      </c>
      <c r="DS29" s="271" t="s">
        <v>444</v>
      </c>
      <c r="DT29" s="105"/>
      <c r="DU29" s="28"/>
      <c r="DV29" s="28"/>
      <c r="DW29" s="28"/>
      <c r="DX29" s="28"/>
      <c r="DY29" s="28"/>
      <c r="DZ29" s="28"/>
      <c r="EA29" s="28"/>
      <c r="EB29" s="28"/>
    </row>
    <row r="30" spans="1:132" ht="283.5" customHeight="1" x14ac:dyDescent="0.2">
      <c r="A30" s="756"/>
      <c r="B30" s="583" t="s">
        <v>838</v>
      </c>
      <c r="C30" s="84"/>
      <c r="D30" s="235">
        <v>206</v>
      </c>
      <c r="E30" s="271" t="s">
        <v>962</v>
      </c>
      <c r="F30" s="272" t="s">
        <v>96</v>
      </c>
      <c r="G30" s="272" t="s">
        <v>95</v>
      </c>
      <c r="H30" s="276" t="s">
        <v>12</v>
      </c>
      <c r="I30" s="275" t="s">
        <v>777</v>
      </c>
      <c r="J30" s="584" t="s">
        <v>773</v>
      </c>
      <c r="K30" s="259" t="s">
        <v>589</v>
      </c>
      <c r="L30" s="272" t="s">
        <v>10</v>
      </c>
      <c r="M30" s="308">
        <v>225</v>
      </c>
      <c r="N30" s="302" t="s">
        <v>77</v>
      </c>
      <c r="O30" s="300">
        <v>1</v>
      </c>
      <c r="P30" s="303" t="s">
        <v>77</v>
      </c>
      <c r="Q30" s="141">
        <v>2.75</v>
      </c>
      <c r="R30" s="266">
        <f>$U$113</f>
        <v>1</v>
      </c>
      <c r="S30" s="4">
        <v>70</v>
      </c>
      <c r="T30" s="4">
        <v>75</v>
      </c>
      <c r="U30" s="4">
        <v>50</v>
      </c>
      <c r="V30" s="4">
        <v>95</v>
      </c>
      <c r="W30" s="189">
        <f t="shared" si="114"/>
        <v>0.97119047619047616</v>
      </c>
      <c r="X30" s="51" t="s">
        <v>373</v>
      </c>
      <c r="Y30" s="265">
        <f t="shared" si="121"/>
        <v>1.3184758124999998</v>
      </c>
      <c r="Z30" s="265">
        <f t="shared" si="122"/>
        <v>1.4126526562499999</v>
      </c>
      <c r="AA30" s="145">
        <f t="shared" si="37"/>
        <v>0.59806062854999986</v>
      </c>
      <c r="AB30" s="145">
        <f>Z30*0.4536</f>
        <v>0.64077924487499993</v>
      </c>
      <c r="AC30" s="145">
        <f>(AA30+AB30)/2</f>
        <v>0.61941993671249995</v>
      </c>
      <c r="AD30" s="145">
        <f t="shared" si="123"/>
        <v>0.34246124999999999</v>
      </c>
      <c r="AE30" s="145">
        <f t="shared" si="124"/>
        <v>0.65067637499999997</v>
      </c>
      <c r="AF30" s="145">
        <f>AD30*0.4536</f>
        <v>0.15534042300000001</v>
      </c>
      <c r="AG30" s="145">
        <f>AE30*0.4536</f>
        <v>0.29514680370000002</v>
      </c>
      <c r="AH30" s="76"/>
      <c r="AI30" s="76"/>
      <c r="AJ30" s="111">
        <v>1200</v>
      </c>
      <c r="AK30" s="76"/>
      <c r="AL30" s="76"/>
      <c r="AM30" s="76">
        <f t="shared" si="129"/>
        <v>1200</v>
      </c>
      <c r="AN30" s="104">
        <v>0.6</v>
      </c>
      <c r="AO30" s="76">
        <v>0</v>
      </c>
      <c r="AP30" s="76"/>
      <c r="AQ30" s="76"/>
      <c r="AR30" s="76">
        <f>(AM30*(1+$AN$2))+AO30</f>
        <v>1680</v>
      </c>
      <c r="AS30" s="76"/>
      <c r="AT30" s="76"/>
      <c r="AU30" s="111">
        <v>75</v>
      </c>
      <c r="AV30" s="76"/>
      <c r="AW30" s="76"/>
      <c r="AX30" s="76">
        <f t="shared" si="130"/>
        <v>75</v>
      </c>
      <c r="AY30" s="326">
        <v>0.75</v>
      </c>
      <c r="AZ30" s="51">
        <v>0.2</v>
      </c>
      <c r="BA30" s="51">
        <v>0.1</v>
      </c>
      <c r="BB30" s="327" t="s">
        <v>292</v>
      </c>
      <c r="BC30" s="76"/>
      <c r="BD30" s="76"/>
      <c r="BE30" s="76">
        <f>AR30*(1+$AZ30)</f>
        <v>2016</v>
      </c>
      <c r="BF30" s="76"/>
      <c r="BG30" s="76"/>
      <c r="BH30" s="76">
        <f>AX30*(1+$BA30)</f>
        <v>82.5</v>
      </c>
      <c r="BI30" s="432">
        <v>4</v>
      </c>
      <c r="BJ30" s="76">
        <f>BE30*0.5</f>
        <v>1008</v>
      </c>
      <c r="BK30" s="76">
        <f t="shared" si="8"/>
        <v>5040</v>
      </c>
      <c r="BL30" s="111">
        <f t="shared" si="43"/>
        <v>2534.6067032054457</v>
      </c>
      <c r="BM30" s="4">
        <f t="shared" si="9"/>
        <v>27.311284687499999</v>
      </c>
      <c r="BN30" s="4">
        <f>BM30*0.4536</f>
        <v>12.38839873425</v>
      </c>
      <c r="BO30" s="4">
        <f t="shared" si="10"/>
        <v>9.9313762499999996</v>
      </c>
      <c r="BP30" s="4">
        <f>BO30*0.4536</f>
        <v>4.5048722669999997</v>
      </c>
      <c r="BQ30" s="324">
        <f t="shared" si="117"/>
        <v>27.311284687499999</v>
      </c>
      <c r="BR30" s="324">
        <f t="shared" si="118"/>
        <v>12.38839873425</v>
      </c>
      <c r="BS30" s="324">
        <f t="shared" si="119"/>
        <v>9.9313762499999996</v>
      </c>
      <c r="BT30" s="324">
        <f t="shared" si="120"/>
        <v>4.5048722669999997</v>
      </c>
      <c r="BU30" s="76" t="str">
        <f t="shared" si="15"/>
        <v>N/A</v>
      </c>
      <c r="BV30" s="111">
        <f t="shared" si="16"/>
        <v>394.39762643994146</v>
      </c>
      <c r="BW30" s="88">
        <f t="shared" si="17"/>
        <v>166.62001642449999</v>
      </c>
      <c r="BX30" s="89">
        <f t="shared" si="18"/>
        <v>37.644964893581552</v>
      </c>
      <c r="BY30" s="89">
        <f t="shared" si="19"/>
        <v>204.26498131808154</v>
      </c>
      <c r="BZ30" s="89">
        <f t="shared" si="20"/>
        <v>367.32807853725751</v>
      </c>
      <c r="CA30" s="89">
        <f t="shared" si="21"/>
        <v>82.991545179853503</v>
      </c>
      <c r="CB30" s="89">
        <f t="shared" si="22"/>
        <v>450.31962371711103</v>
      </c>
      <c r="CC30" s="89">
        <f t="shared" si="23"/>
        <v>458.20504516737503</v>
      </c>
      <c r="CD30" s="89">
        <f t="shared" si="24"/>
        <v>103.52365345734927</v>
      </c>
      <c r="CE30" s="89">
        <f t="shared" si="25"/>
        <v>561.7286986247243</v>
      </c>
      <c r="CF30" s="89">
        <f t="shared" si="26"/>
        <v>1010.1522159774581</v>
      </c>
      <c r="CG30" s="89">
        <f t="shared" si="27"/>
        <v>228.22674924459716</v>
      </c>
      <c r="CH30" s="89">
        <f t="shared" si="28"/>
        <v>1238.3789652220553</v>
      </c>
      <c r="CI30" s="41">
        <f t="shared" si="110"/>
        <v>0</v>
      </c>
      <c r="CJ30" s="41">
        <f t="shared" si="111"/>
        <v>0</v>
      </c>
      <c r="CK30" s="41">
        <f t="shared" si="112"/>
        <v>0</v>
      </c>
      <c r="CL30" s="41">
        <f t="shared" si="113"/>
        <v>0</v>
      </c>
      <c r="CM30" s="346">
        <f t="shared" si="29"/>
        <v>166.62001642449999</v>
      </c>
      <c r="CN30" s="204">
        <f t="shared" si="30"/>
        <v>37.644964893581552</v>
      </c>
      <c r="CO30" s="204">
        <f t="shared" si="44"/>
        <v>204.26498131808154</v>
      </c>
      <c r="CP30" s="204">
        <f t="shared" si="31"/>
        <v>367.32807853725751</v>
      </c>
      <c r="CQ30" s="204">
        <f t="shared" si="32"/>
        <v>82.991545179853503</v>
      </c>
      <c r="CR30" s="204">
        <f t="shared" si="45"/>
        <v>450.31962371711103</v>
      </c>
      <c r="CS30" s="204">
        <f t="shared" si="33"/>
        <v>458.20504516737503</v>
      </c>
      <c r="CT30" s="204">
        <f t="shared" si="34"/>
        <v>103.52365345734927</v>
      </c>
      <c r="CU30" s="204">
        <f t="shared" si="46"/>
        <v>561.7286986247243</v>
      </c>
      <c r="CV30" s="204">
        <f t="shared" si="35"/>
        <v>1010.1522159774581</v>
      </c>
      <c r="CW30" s="204">
        <f t="shared" si="36"/>
        <v>228.22674924459716</v>
      </c>
      <c r="CX30" s="204">
        <f t="shared" si="47"/>
        <v>1238.3789652220553</v>
      </c>
      <c r="CY30" s="286" t="s">
        <v>118</v>
      </c>
      <c r="CZ30" s="285" t="s">
        <v>57</v>
      </c>
      <c r="DA30" s="285" t="s">
        <v>57</v>
      </c>
      <c r="DB30" s="285" t="s">
        <v>331</v>
      </c>
      <c r="DC30" s="285" t="s">
        <v>56</v>
      </c>
      <c r="DD30" s="511" t="s">
        <v>792</v>
      </c>
      <c r="DE30" s="271" t="s">
        <v>447</v>
      </c>
      <c r="DF30" s="285" t="s">
        <v>57</v>
      </c>
      <c r="DG30" s="285" t="s">
        <v>57</v>
      </c>
      <c r="DH30" s="285" t="s">
        <v>56</v>
      </c>
      <c r="DI30" s="285" t="s">
        <v>56</v>
      </c>
      <c r="DJ30" s="271" t="s">
        <v>443</v>
      </c>
      <c r="DK30" s="272" t="s">
        <v>358</v>
      </c>
      <c r="DL30" s="271" t="s">
        <v>350</v>
      </c>
      <c r="DM30" s="271" t="s">
        <v>365</v>
      </c>
      <c r="DN30" s="272" t="s">
        <v>481</v>
      </c>
      <c r="DO30" s="520" t="s">
        <v>835</v>
      </c>
      <c r="DP30" s="519" t="s">
        <v>839</v>
      </c>
      <c r="DQ30" s="527" t="s">
        <v>866</v>
      </c>
      <c r="DR30" s="532" t="s">
        <v>867</v>
      </c>
      <c r="DS30" s="271" t="s">
        <v>444</v>
      </c>
      <c r="DT30" s="105"/>
      <c r="DU30" s="28"/>
      <c r="DV30" s="28"/>
      <c r="DW30" s="28"/>
      <c r="DX30" s="28"/>
      <c r="DY30" s="28"/>
      <c r="DZ30" s="28"/>
      <c r="EA30" s="28"/>
      <c r="EB30" s="28"/>
    </row>
    <row r="31" spans="1:132" ht="283.5" hidden="1" customHeight="1" x14ac:dyDescent="0.2">
      <c r="A31" s="756"/>
      <c r="B31" s="427" t="s">
        <v>560</v>
      </c>
      <c r="C31" s="84"/>
      <c r="D31" s="235">
        <v>209</v>
      </c>
      <c r="E31" s="271" t="s">
        <v>445</v>
      </c>
      <c r="F31" s="272" t="s">
        <v>96</v>
      </c>
      <c r="G31" s="272" t="s">
        <v>95</v>
      </c>
      <c r="H31" s="276" t="s">
        <v>12</v>
      </c>
      <c r="I31" s="275" t="s">
        <v>462</v>
      </c>
      <c r="J31" s="507" t="s">
        <v>446</v>
      </c>
      <c r="K31" s="259" t="s">
        <v>590</v>
      </c>
      <c r="L31" s="272" t="s">
        <v>10</v>
      </c>
      <c r="M31" s="308">
        <v>336</v>
      </c>
      <c r="N31" s="302" t="s">
        <v>77</v>
      </c>
      <c r="O31" s="300">
        <v>1</v>
      </c>
      <c r="P31" s="303" t="s">
        <v>77</v>
      </c>
      <c r="Q31" s="141">
        <v>2.75</v>
      </c>
      <c r="R31" s="266">
        <f>$U$113</f>
        <v>1</v>
      </c>
      <c r="S31" s="4">
        <v>70</v>
      </c>
      <c r="T31" s="4">
        <v>75</v>
      </c>
      <c r="U31" s="4">
        <v>50</v>
      </c>
      <c r="V31" s="4">
        <v>95</v>
      </c>
      <c r="W31" s="189">
        <f t="shared" si="114"/>
        <v>0.97119047619047616</v>
      </c>
      <c r="X31" s="51" t="s">
        <v>373</v>
      </c>
      <c r="Y31" s="145">
        <f>((($Q31)*($S31/100))*(8.34*($M31/1000000)))*365</f>
        <v>1.9689238799999997</v>
      </c>
      <c r="Z31" s="145">
        <f t="shared" si="122"/>
        <v>2.1095612999999998</v>
      </c>
      <c r="AA31" s="303">
        <f t="shared" si="37"/>
        <v>0.8931038719679999</v>
      </c>
      <c r="AB31" s="303">
        <f t="shared" si="125"/>
        <v>0.95689700567999991</v>
      </c>
      <c r="AC31" s="303">
        <f t="shared" si="126"/>
        <v>0.92500043882399985</v>
      </c>
      <c r="AD31" s="303">
        <f t="shared" si="123"/>
        <v>0.5114088</v>
      </c>
      <c r="AE31" s="303">
        <f t="shared" si="124"/>
        <v>0.97167671999999994</v>
      </c>
      <c r="AF31" s="303">
        <f t="shared" si="127"/>
        <v>0.23197503168</v>
      </c>
      <c r="AG31" s="303">
        <f t="shared" si="128"/>
        <v>0.44075256019199999</v>
      </c>
      <c r="AH31" s="76"/>
      <c r="AI31" s="76"/>
      <c r="AJ31" s="111">
        <v>2000</v>
      </c>
      <c r="AK31" s="76"/>
      <c r="AL31" s="76"/>
      <c r="AM31" s="76">
        <f t="shared" si="129"/>
        <v>2000</v>
      </c>
      <c r="AN31" s="104">
        <v>0.6</v>
      </c>
      <c r="AO31" s="76">
        <v>0</v>
      </c>
      <c r="AP31" s="76"/>
      <c r="AQ31" s="76"/>
      <c r="AR31" s="76">
        <f>(AM31*(1+$AN$2))+AO31</f>
        <v>2800</v>
      </c>
      <c r="AS31" s="76"/>
      <c r="AT31" s="76"/>
      <c r="AU31" s="111">
        <v>112</v>
      </c>
      <c r="AV31" s="76"/>
      <c r="AW31" s="76"/>
      <c r="AX31" s="76">
        <f t="shared" si="130"/>
        <v>112</v>
      </c>
      <c r="AY31" s="326">
        <v>0.75</v>
      </c>
      <c r="AZ31" s="51">
        <v>0.2</v>
      </c>
      <c r="BA31" s="51">
        <v>0.1</v>
      </c>
      <c r="BB31" s="327" t="s">
        <v>292</v>
      </c>
      <c r="BC31" s="76"/>
      <c r="BD31" s="76"/>
      <c r="BE31" s="76">
        <f t="shared" si="42"/>
        <v>3360</v>
      </c>
      <c r="BF31" s="76"/>
      <c r="BG31" s="76"/>
      <c r="BH31" s="76">
        <f t="shared" si="7"/>
        <v>123.20000000000002</v>
      </c>
      <c r="BI31" s="432">
        <v>4</v>
      </c>
      <c r="BJ31" s="76">
        <f>BE31*0.75</f>
        <v>2520</v>
      </c>
      <c r="BK31" s="76">
        <f t="shared" si="8"/>
        <v>12600</v>
      </c>
      <c r="BL31" s="111">
        <f t="shared" si="43"/>
        <v>6336.5167580136149</v>
      </c>
      <c r="BM31" s="4">
        <f t="shared" si="9"/>
        <v>40.784851799999998</v>
      </c>
      <c r="BN31" s="4">
        <f>BM31*0.4536</f>
        <v>18.500008776479998</v>
      </c>
      <c r="BO31" s="4">
        <f t="shared" si="10"/>
        <v>14.830855199999998</v>
      </c>
      <c r="BP31" s="4">
        <f>BO31*0.4536</f>
        <v>6.7272759187199993</v>
      </c>
      <c r="BQ31" s="324">
        <f t="shared" si="117"/>
        <v>40.784851799999998</v>
      </c>
      <c r="BR31" s="324">
        <f t="shared" si="118"/>
        <v>18.500008776479998</v>
      </c>
      <c r="BS31" s="324">
        <f t="shared" si="119"/>
        <v>14.830855199999998</v>
      </c>
      <c r="BT31" s="324">
        <f t="shared" si="120"/>
        <v>6.7272759187199993</v>
      </c>
      <c r="BU31" s="76" t="str">
        <f t="shared" si="15"/>
        <v>N/A</v>
      </c>
      <c r="BV31" s="111">
        <f t="shared" si="16"/>
        <v>424.71647024057762</v>
      </c>
      <c r="BW31" s="88">
        <f t="shared" si="17"/>
        <v>237.74799539699725</v>
      </c>
      <c r="BX31" s="89">
        <f t="shared" si="18"/>
        <v>37.644964893581552</v>
      </c>
      <c r="BY31" s="89">
        <f t="shared" si="19"/>
        <v>275.3929602905788</v>
      </c>
      <c r="BZ31" s="89">
        <f t="shared" si="20"/>
        <v>524.13579232142251</v>
      </c>
      <c r="CA31" s="89">
        <f t="shared" si="21"/>
        <v>82.991545179853517</v>
      </c>
      <c r="CB31" s="89">
        <f t="shared" si="22"/>
        <v>607.12733750127609</v>
      </c>
      <c r="CC31" s="89">
        <f t="shared" si="23"/>
        <v>653.80698734174246</v>
      </c>
      <c r="CD31" s="89">
        <f t="shared" si="24"/>
        <v>103.52365345734928</v>
      </c>
      <c r="CE31" s="89">
        <f t="shared" si="25"/>
        <v>757.33064079909173</v>
      </c>
      <c r="CF31" s="89">
        <f t="shared" si="26"/>
        <v>1441.3734288839121</v>
      </c>
      <c r="CG31" s="89">
        <f t="shared" si="27"/>
        <v>228.22674924459719</v>
      </c>
      <c r="CH31" s="89">
        <f t="shared" si="28"/>
        <v>1669.6001781285092</v>
      </c>
      <c r="CI31" s="41">
        <f t="shared" si="110"/>
        <v>0</v>
      </c>
      <c r="CJ31" s="41">
        <f t="shared" si="111"/>
        <v>0</v>
      </c>
      <c r="CK31" s="41">
        <f t="shared" si="112"/>
        <v>0</v>
      </c>
      <c r="CL31" s="41">
        <f t="shared" si="113"/>
        <v>0</v>
      </c>
      <c r="CM31" s="346">
        <f t="shared" si="29"/>
        <v>237.74799539699725</v>
      </c>
      <c r="CN31" s="204">
        <f t="shared" si="30"/>
        <v>37.644964893581552</v>
      </c>
      <c r="CO31" s="204">
        <f t="shared" si="44"/>
        <v>275.3929602905788</v>
      </c>
      <c r="CP31" s="204">
        <f t="shared" si="31"/>
        <v>524.13579232142251</v>
      </c>
      <c r="CQ31" s="204">
        <f t="shared" si="32"/>
        <v>82.991545179853517</v>
      </c>
      <c r="CR31" s="204">
        <f t="shared" si="45"/>
        <v>607.12733750127609</v>
      </c>
      <c r="CS31" s="204">
        <f t="shared" si="33"/>
        <v>653.80698734174246</v>
      </c>
      <c r="CT31" s="204">
        <f t="shared" si="34"/>
        <v>103.52365345734928</v>
      </c>
      <c r="CU31" s="204">
        <f t="shared" si="46"/>
        <v>757.33064079909173</v>
      </c>
      <c r="CV31" s="204">
        <f t="shared" si="35"/>
        <v>1441.3734288839121</v>
      </c>
      <c r="CW31" s="204">
        <f t="shared" si="36"/>
        <v>228.22674924459719</v>
      </c>
      <c r="CX31" s="204">
        <f t="shared" si="47"/>
        <v>1669.6001781285092</v>
      </c>
      <c r="CY31" s="286" t="s">
        <v>118</v>
      </c>
      <c r="CZ31" s="285" t="s">
        <v>57</v>
      </c>
      <c r="DA31" s="285" t="s">
        <v>57</v>
      </c>
      <c r="DB31" s="285" t="s">
        <v>331</v>
      </c>
      <c r="DC31" s="285" t="s">
        <v>56</v>
      </c>
      <c r="DD31" s="511" t="s">
        <v>787</v>
      </c>
      <c r="DE31" s="271" t="s">
        <v>447</v>
      </c>
      <c r="DF31" s="285" t="s">
        <v>57</v>
      </c>
      <c r="DG31" s="285" t="s">
        <v>57</v>
      </c>
      <c r="DH31" s="285" t="s">
        <v>56</v>
      </c>
      <c r="DI31" s="285" t="s">
        <v>56</v>
      </c>
      <c r="DJ31" s="271" t="s">
        <v>443</v>
      </c>
      <c r="DK31" s="272" t="s">
        <v>358</v>
      </c>
      <c r="DL31" s="271" t="s">
        <v>350</v>
      </c>
      <c r="DM31" s="271" t="s">
        <v>365</v>
      </c>
      <c r="DN31" s="272" t="s">
        <v>481</v>
      </c>
      <c r="DO31" s="520"/>
      <c r="DP31" s="520"/>
      <c r="DQ31" s="527" t="s">
        <v>868</v>
      </c>
      <c r="DR31" s="532" t="s">
        <v>867</v>
      </c>
      <c r="DS31" s="271" t="s">
        <v>444</v>
      </c>
      <c r="DT31" s="105"/>
      <c r="DU31" s="28"/>
      <c r="DV31" s="28"/>
      <c r="DW31" s="28"/>
      <c r="DX31" s="28"/>
      <c r="DY31" s="28"/>
      <c r="DZ31" s="28"/>
      <c r="EA31" s="28"/>
      <c r="EB31" s="28"/>
    </row>
    <row r="32" spans="1:132" ht="283.5" hidden="1" customHeight="1" x14ac:dyDescent="0.2">
      <c r="A32" s="756"/>
      <c r="B32" s="427" t="s">
        <v>561</v>
      </c>
      <c r="C32" s="84"/>
      <c r="D32" s="235">
        <v>210</v>
      </c>
      <c r="E32" s="271" t="s">
        <v>445</v>
      </c>
      <c r="F32" s="272" t="s">
        <v>96</v>
      </c>
      <c r="G32" s="272" t="s">
        <v>95</v>
      </c>
      <c r="H32" s="276" t="s">
        <v>12</v>
      </c>
      <c r="I32" s="275" t="s">
        <v>462</v>
      </c>
      <c r="J32" s="507" t="s">
        <v>446</v>
      </c>
      <c r="K32" s="259" t="s">
        <v>591</v>
      </c>
      <c r="L32" s="272" t="s">
        <v>10</v>
      </c>
      <c r="M32" s="308">
        <v>448</v>
      </c>
      <c r="N32" s="302" t="s">
        <v>77</v>
      </c>
      <c r="O32" s="300">
        <v>1</v>
      </c>
      <c r="P32" s="303" t="s">
        <v>77</v>
      </c>
      <c r="Q32" s="141">
        <v>2.75</v>
      </c>
      <c r="R32" s="266">
        <f>$U$113</f>
        <v>1</v>
      </c>
      <c r="S32" s="4">
        <v>70</v>
      </c>
      <c r="T32" s="4">
        <v>75</v>
      </c>
      <c r="U32" s="4">
        <v>50</v>
      </c>
      <c r="V32" s="4">
        <v>95</v>
      </c>
      <c r="W32" s="189">
        <f t="shared" si="114"/>
        <v>0.97119047619047616</v>
      </c>
      <c r="X32" s="51" t="s">
        <v>373</v>
      </c>
      <c r="Y32" s="145">
        <f t="shared" si="121"/>
        <v>2.6252318399999997</v>
      </c>
      <c r="Z32" s="145">
        <f t="shared" si="122"/>
        <v>2.8127483999999998</v>
      </c>
      <c r="AA32" s="303">
        <f t="shared" si="37"/>
        <v>1.1908051626239999</v>
      </c>
      <c r="AB32" s="303">
        <f>Z32*0.4536</f>
        <v>1.2758626742399999</v>
      </c>
      <c r="AC32" s="303">
        <f>(AA32+AB32)/2</f>
        <v>1.2333339184319998</v>
      </c>
      <c r="AD32" s="303">
        <f t="shared" si="123"/>
        <v>0.6818784</v>
      </c>
      <c r="AE32" s="303">
        <f t="shared" si="124"/>
        <v>1.29556896</v>
      </c>
      <c r="AF32" s="303">
        <f>AD32*0.4536</f>
        <v>0.30930004224000002</v>
      </c>
      <c r="AG32" s="303">
        <f>AE32*0.4536</f>
        <v>0.58767008025599998</v>
      </c>
      <c r="AH32" s="76"/>
      <c r="AI32" s="76"/>
      <c r="AJ32" s="111">
        <v>2800</v>
      </c>
      <c r="AK32" s="76"/>
      <c r="AL32" s="76"/>
      <c r="AM32" s="76">
        <f t="shared" si="129"/>
        <v>2800</v>
      </c>
      <c r="AN32" s="104">
        <v>0.6</v>
      </c>
      <c r="AO32" s="76">
        <v>0</v>
      </c>
      <c r="AP32" s="76"/>
      <c r="AQ32" s="76"/>
      <c r="AR32" s="76">
        <f>(AM32*(1+$AN$2))+AO32</f>
        <v>3919.9999999999995</v>
      </c>
      <c r="AS32" s="76"/>
      <c r="AT32" s="76"/>
      <c r="AU32" s="111">
        <v>150</v>
      </c>
      <c r="AV32" s="76"/>
      <c r="AW32" s="76"/>
      <c r="AX32" s="76">
        <f t="shared" si="130"/>
        <v>150</v>
      </c>
      <c r="AY32" s="326">
        <v>0.75</v>
      </c>
      <c r="AZ32" s="51">
        <v>0.2</v>
      </c>
      <c r="BA32" s="51">
        <v>0.1</v>
      </c>
      <c r="BB32" s="327" t="s">
        <v>292</v>
      </c>
      <c r="BC32" s="76"/>
      <c r="BD32" s="76"/>
      <c r="BE32" s="76">
        <f>AR32*(1+$AZ32)</f>
        <v>4703.9999999999991</v>
      </c>
      <c r="BF32" s="76"/>
      <c r="BG32" s="76"/>
      <c r="BH32" s="76">
        <f>AX32*(1+$BA32)</f>
        <v>165</v>
      </c>
      <c r="BI32" s="432">
        <v>4</v>
      </c>
      <c r="BJ32" s="76">
        <f>BE32*0.5</f>
        <v>2351.9999999999995</v>
      </c>
      <c r="BK32" s="76">
        <f t="shared" si="8"/>
        <v>11759.999999999998</v>
      </c>
      <c r="BL32" s="111">
        <f t="shared" si="43"/>
        <v>5914.0823074793716</v>
      </c>
      <c r="BM32" s="4">
        <f t="shared" si="9"/>
        <v>54.379802400000003</v>
      </c>
      <c r="BN32" s="4">
        <f>BM32*0.4536</f>
        <v>24.666678368640003</v>
      </c>
      <c r="BO32" s="4">
        <f t="shared" si="10"/>
        <v>19.7744736</v>
      </c>
      <c r="BP32" s="4">
        <f>BO32*0.4536</f>
        <v>8.9697012249599997</v>
      </c>
      <c r="BQ32" s="324">
        <f t="shared" si="117"/>
        <v>54.379802400000003</v>
      </c>
      <c r="BR32" s="324">
        <f t="shared" si="118"/>
        <v>24.666678368640003</v>
      </c>
      <c r="BS32" s="324">
        <f t="shared" si="119"/>
        <v>19.7744736</v>
      </c>
      <c r="BT32" s="324">
        <f t="shared" si="120"/>
        <v>8.9697012249599997</v>
      </c>
      <c r="BU32" s="76" t="str">
        <f t="shared" si="15"/>
        <v>N/A</v>
      </c>
      <c r="BV32" s="111">
        <f t="shared" si="16"/>
        <v>439.88743176493836</v>
      </c>
      <c r="BW32" s="88">
        <f t="shared" si="17"/>
        <v>195.25783174746087</v>
      </c>
      <c r="BX32" s="89">
        <f t="shared" si="18"/>
        <v>37.813022772570754</v>
      </c>
      <c r="BY32" s="89">
        <f t="shared" si="19"/>
        <v>233.07085452003162</v>
      </c>
      <c r="BZ32" s="89">
        <f t="shared" si="20"/>
        <v>430.46259203584844</v>
      </c>
      <c r="CA32" s="89">
        <f t="shared" si="21"/>
        <v>83.362043149406418</v>
      </c>
      <c r="CB32" s="89">
        <f t="shared" si="22"/>
        <v>513.82463518525492</v>
      </c>
      <c r="CC32" s="89">
        <f t="shared" si="23"/>
        <v>536.95903730551743</v>
      </c>
      <c r="CD32" s="89">
        <f t="shared" si="24"/>
        <v>103.98581262456956</v>
      </c>
      <c r="CE32" s="89">
        <f t="shared" si="25"/>
        <v>640.944849930087</v>
      </c>
      <c r="CF32" s="89">
        <f t="shared" si="26"/>
        <v>1183.7721280985834</v>
      </c>
      <c r="CG32" s="89">
        <f t="shared" si="27"/>
        <v>229.24561866086768</v>
      </c>
      <c r="CH32" s="89">
        <f t="shared" si="28"/>
        <v>1413.017746759451</v>
      </c>
      <c r="CI32" s="41">
        <f t="shared" si="110"/>
        <v>0</v>
      </c>
      <c r="CJ32" s="41">
        <f t="shared" si="111"/>
        <v>0</v>
      </c>
      <c r="CK32" s="41">
        <f t="shared" si="112"/>
        <v>0</v>
      </c>
      <c r="CL32" s="41">
        <f t="shared" si="113"/>
        <v>0</v>
      </c>
      <c r="CM32" s="346">
        <f t="shared" si="29"/>
        <v>195.25783174746087</v>
      </c>
      <c r="CN32" s="204">
        <f t="shared" si="30"/>
        <v>37.813022772570754</v>
      </c>
      <c r="CO32" s="204">
        <f t="shared" si="44"/>
        <v>233.07085452003162</v>
      </c>
      <c r="CP32" s="204">
        <f t="shared" si="31"/>
        <v>430.46259203584844</v>
      </c>
      <c r="CQ32" s="204">
        <f t="shared" si="32"/>
        <v>83.362043149406418</v>
      </c>
      <c r="CR32" s="204">
        <f t="shared" si="45"/>
        <v>513.82463518525492</v>
      </c>
      <c r="CS32" s="204">
        <f t="shared" si="33"/>
        <v>536.95903730551743</v>
      </c>
      <c r="CT32" s="204">
        <f t="shared" si="34"/>
        <v>103.98581262456956</v>
      </c>
      <c r="CU32" s="204">
        <f t="shared" si="46"/>
        <v>640.944849930087</v>
      </c>
      <c r="CV32" s="204">
        <f t="shared" si="35"/>
        <v>1183.7721280985834</v>
      </c>
      <c r="CW32" s="204">
        <f t="shared" si="36"/>
        <v>229.24561866086768</v>
      </c>
      <c r="CX32" s="204">
        <f t="shared" si="47"/>
        <v>1413.017746759451</v>
      </c>
      <c r="CY32" s="286" t="s">
        <v>118</v>
      </c>
      <c r="CZ32" s="285" t="s">
        <v>57</v>
      </c>
      <c r="DA32" s="285" t="s">
        <v>57</v>
      </c>
      <c r="DB32" s="285" t="s">
        <v>331</v>
      </c>
      <c r="DC32" s="285" t="s">
        <v>56</v>
      </c>
      <c r="DD32" s="511" t="s">
        <v>788</v>
      </c>
      <c r="DE32" s="271" t="s">
        <v>447</v>
      </c>
      <c r="DF32" s="285" t="s">
        <v>57</v>
      </c>
      <c r="DG32" s="285" t="s">
        <v>57</v>
      </c>
      <c r="DH32" s="285" t="s">
        <v>56</v>
      </c>
      <c r="DI32" s="285" t="s">
        <v>56</v>
      </c>
      <c r="DJ32" s="271" t="s">
        <v>443</v>
      </c>
      <c r="DK32" s="272" t="s">
        <v>358</v>
      </c>
      <c r="DL32" s="271" t="s">
        <v>350</v>
      </c>
      <c r="DM32" s="271" t="s">
        <v>365</v>
      </c>
      <c r="DN32" s="272" t="s">
        <v>481</v>
      </c>
      <c r="DO32" s="520"/>
      <c r="DP32" s="520"/>
      <c r="DQ32" s="527" t="s">
        <v>869</v>
      </c>
      <c r="DR32" s="532" t="s">
        <v>867</v>
      </c>
      <c r="DS32" s="271" t="s">
        <v>444</v>
      </c>
      <c r="DT32" s="105"/>
      <c r="DU32" s="28"/>
      <c r="DV32" s="28"/>
      <c r="DW32" s="28"/>
      <c r="DX32" s="28"/>
      <c r="DY32" s="28"/>
      <c r="DZ32" s="28"/>
      <c r="EA32" s="28"/>
      <c r="EB32" s="28"/>
    </row>
    <row r="33" spans="1:132" ht="172.5" customHeight="1" x14ac:dyDescent="0.2">
      <c r="A33" s="756"/>
      <c r="B33" s="12" t="s">
        <v>377</v>
      </c>
      <c r="C33" s="84"/>
      <c r="D33" s="235">
        <v>207</v>
      </c>
      <c r="E33" s="271" t="s">
        <v>823</v>
      </c>
      <c r="F33" s="272" t="s">
        <v>96</v>
      </c>
      <c r="G33" s="272" t="s">
        <v>95</v>
      </c>
      <c r="H33" s="276" t="s">
        <v>99</v>
      </c>
      <c r="I33" s="275" t="s">
        <v>463</v>
      </c>
      <c r="J33" s="507" t="s">
        <v>448</v>
      </c>
      <c r="K33" s="259" t="s">
        <v>592</v>
      </c>
      <c r="L33" s="276" t="s">
        <v>9</v>
      </c>
      <c r="M33" s="309">
        <f>N33*730</f>
        <v>730</v>
      </c>
      <c r="N33" s="301">
        <v>1</v>
      </c>
      <c r="O33" s="11" t="s">
        <v>77</v>
      </c>
      <c r="P33" s="303" t="s">
        <v>77</v>
      </c>
      <c r="Q33" s="139">
        <f>$T$107</f>
        <v>6</v>
      </c>
      <c r="R33" s="266">
        <f>$U$107</f>
        <v>1</v>
      </c>
      <c r="S33" s="4">
        <v>60</v>
      </c>
      <c r="T33" s="4">
        <v>80</v>
      </c>
      <c r="U33" s="4">
        <v>60</v>
      </c>
      <c r="V33" s="4">
        <v>80</v>
      </c>
      <c r="W33" s="189">
        <f t="shared" si="114"/>
        <v>0.93142857142857138</v>
      </c>
      <c r="X33" s="51" t="s">
        <v>373</v>
      </c>
      <c r="Y33" s="145">
        <f t="shared" si="121"/>
        <v>7.9998947999999981</v>
      </c>
      <c r="Z33" s="145">
        <f t="shared" si="122"/>
        <v>10.6665264</v>
      </c>
      <c r="AA33" s="145">
        <f t="shared" si="37"/>
        <v>3.6287522812799993</v>
      </c>
      <c r="AB33" s="145">
        <f t="shared" si="125"/>
        <v>4.8383363750399999</v>
      </c>
      <c r="AC33" s="145">
        <f t="shared" si="126"/>
        <v>4.2335443281599998</v>
      </c>
      <c r="AD33" s="145">
        <f t="shared" si="123"/>
        <v>1.3333157999999998</v>
      </c>
      <c r="AE33" s="145">
        <f t="shared" si="124"/>
        <v>1.7777543999999998</v>
      </c>
      <c r="AF33" s="145">
        <f t="shared" si="127"/>
        <v>0.60479204687999988</v>
      </c>
      <c r="AG33" s="145">
        <f t="shared" si="128"/>
        <v>0.80638939583999991</v>
      </c>
      <c r="AH33" s="76">
        <v>1000</v>
      </c>
      <c r="AI33" s="76">
        <v>2000</v>
      </c>
      <c r="AJ33" s="76">
        <f t="shared" si="48"/>
        <v>1500</v>
      </c>
      <c r="AK33" s="76">
        <f t="shared" ref="AK33:AK55" si="131">AH33*($AA$109/$AA$107)</f>
        <v>1000</v>
      </c>
      <c r="AL33" s="76">
        <f t="shared" ref="AL33:AL55" si="132">AI33*($AA$109/$AA$107)</f>
        <v>2000</v>
      </c>
      <c r="AM33" s="76">
        <f t="shared" si="129"/>
        <v>1500</v>
      </c>
      <c r="AN33" s="104">
        <v>0.5</v>
      </c>
      <c r="AO33" s="76">
        <v>0</v>
      </c>
      <c r="AP33" s="76">
        <f t="shared" si="51"/>
        <v>1400</v>
      </c>
      <c r="AQ33" s="76">
        <f t="shared" si="52"/>
        <v>2800</v>
      </c>
      <c r="AR33" s="76">
        <f t="shared" si="53"/>
        <v>2100</v>
      </c>
      <c r="AS33" s="76">
        <v>500</v>
      </c>
      <c r="AT33" s="76">
        <v>1000</v>
      </c>
      <c r="AU33" s="76">
        <f t="shared" si="59"/>
        <v>750</v>
      </c>
      <c r="AV33" s="76">
        <f t="shared" ref="AV33:AV55" si="133">AS33*($AA$109/$AA$107)</f>
        <v>500</v>
      </c>
      <c r="AW33" s="76">
        <f t="shared" ref="AW33:AW55" si="134">AT33*($AA$109/$AA$107)</f>
        <v>1000</v>
      </c>
      <c r="AX33" s="76">
        <f t="shared" si="130"/>
        <v>750</v>
      </c>
      <c r="AY33" s="326">
        <v>0.75</v>
      </c>
      <c r="AZ33" s="51">
        <v>0.1</v>
      </c>
      <c r="BA33" s="51">
        <v>0.1</v>
      </c>
      <c r="BB33" s="327" t="s">
        <v>431</v>
      </c>
      <c r="BC33" s="76">
        <f>AP33*(1+$AZ33)</f>
        <v>1540.0000000000002</v>
      </c>
      <c r="BD33" s="76">
        <f>AQ33*(1+$AZ33)</f>
        <v>3080.0000000000005</v>
      </c>
      <c r="BE33" s="76">
        <f t="shared" si="42"/>
        <v>2310</v>
      </c>
      <c r="BF33" s="76">
        <f>AV33*(1+$BA33)</f>
        <v>550</v>
      </c>
      <c r="BG33" s="76">
        <f>AW33*(1+$BA33)</f>
        <v>1100</v>
      </c>
      <c r="BH33" s="76">
        <f t="shared" si="7"/>
        <v>825.00000000000011</v>
      </c>
      <c r="BI33" s="4">
        <v>20</v>
      </c>
      <c r="BJ33" s="76">
        <f>BE33*0.25</f>
        <v>577.5</v>
      </c>
      <c r="BK33" s="76">
        <f t="shared" si="8"/>
        <v>577.5</v>
      </c>
      <c r="BL33" s="111">
        <f t="shared" si="43"/>
        <v>0</v>
      </c>
      <c r="BM33" s="4">
        <f t="shared" si="9"/>
        <v>186.66421199999999</v>
      </c>
      <c r="BN33" s="4">
        <f t="shared" si="57"/>
        <v>84.6708865632</v>
      </c>
      <c r="BO33" s="4">
        <f t="shared" si="10"/>
        <v>31.110701999999996</v>
      </c>
      <c r="BP33" s="4">
        <f t="shared" si="58"/>
        <v>14.111814427199999</v>
      </c>
      <c r="BQ33" s="324">
        <f t="shared" si="117"/>
        <v>186.66421199999999</v>
      </c>
      <c r="BR33" s="324">
        <f t="shared" si="118"/>
        <v>84.6708865632</v>
      </c>
      <c r="BS33" s="324">
        <f t="shared" si="119"/>
        <v>31.110701999999996</v>
      </c>
      <c r="BT33" s="324">
        <f t="shared" si="120"/>
        <v>14.111814427199999</v>
      </c>
      <c r="BU33" s="76" t="str">
        <f t="shared" si="15"/>
        <v>N/A</v>
      </c>
      <c r="BV33" s="111">
        <f t="shared" si="16"/>
        <v>238.66367754937568</v>
      </c>
      <c r="BW33" s="88">
        <f t="shared" si="17"/>
        <v>12.375162733389944</v>
      </c>
      <c r="BX33" s="89">
        <f t="shared" si="18"/>
        <v>55.079243216666995</v>
      </c>
      <c r="BY33" s="89">
        <f t="shared" si="19"/>
        <v>67.454405950056938</v>
      </c>
      <c r="BZ33" s="89">
        <f t="shared" si="20"/>
        <v>27.28210479142404</v>
      </c>
      <c r="CA33" s="89">
        <f t="shared" si="21"/>
        <v>121.42690303498016</v>
      </c>
      <c r="CB33" s="89">
        <f t="shared" si="22"/>
        <v>148.70900782640419</v>
      </c>
      <c r="CC33" s="89">
        <f t="shared" si="23"/>
        <v>74.250976400339667</v>
      </c>
      <c r="CD33" s="89">
        <f t="shared" si="24"/>
        <v>330.475459300002</v>
      </c>
      <c r="CE33" s="89">
        <f t="shared" si="25"/>
        <v>404.72643570034165</v>
      </c>
      <c r="CF33" s="89">
        <f t="shared" si="26"/>
        <v>163.69262874854425</v>
      </c>
      <c r="CG33" s="89">
        <f t="shared" si="27"/>
        <v>728.56141820988103</v>
      </c>
      <c r="CH33" s="89">
        <f t="shared" si="28"/>
        <v>892.25404695842531</v>
      </c>
      <c r="CI33" s="41">
        <f t="shared" si="110"/>
        <v>786.96806941733087</v>
      </c>
      <c r="CJ33" s="41">
        <f t="shared" si="111"/>
        <v>2098.5815184462163</v>
      </c>
      <c r="CK33" s="41">
        <f t="shared" si="112"/>
        <v>4721.8084165039863</v>
      </c>
      <c r="CL33" s="41">
        <f t="shared" si="113"/>
        <v>12591.489110677296</v>
      </c>
      <c r="CM33" s="346">
        <f t="shared" si="29"/>
        <v>12.375162733389944</v>
      </c>
      <c r="CN33" s="204">
        <f t="shared" si="30"/>
        <v>55.079243216666995</v>
      </c>
      <c r="CO33" s="204">
        <f t="shared" si="44"/>
        <v>67.454405950056938</v>
      </c>
      <c r="CP33" s="204">
        <f t="shared" si="31"/>
        <v>27.28210479142404</v>
      </c>
      <c r="CQ33" s="204">
        <f t="shared" si="32"/>
        <v>121.42690303498016</v>
      </c>
      <c r="CR33" s="204">
        <f t="shared" si="45"/>
        <v>148.70900782640419</v>
      </c>
      <c r="CS33" s="204">
        <f t="shared" si="33"/>
        <v>74.250976400339667</v>
      </c>
      <c r="CT33" s="204">
        <f t="shared" si="34"/>
        <v>330.475459300002</v>
      </c>
      <c r="CU33" s="204">
        <f t="shared" si="46"/>
        <v>404.72643570034165</v>
      </c>
      <c r="CV33" s="204">
        <f t="shared" si="35"/>
        <v>163.69262874854425</v>
      </c>
      <c r="CW33" s="204">
        <f t="shared" si="36"/>
        <v>728.56141820988103</v>
      </c>
      <c r="CX33" s="204">
        <f t="shared" si="47"/>
        <v>892.25404695842531</v>
      </c>
      <c r="CY33" s="286" t="s">
        <v>118</v>
      </c>
      <c r="CZ33" s="285" t="s">
        <v>57</v>
      </c>
      <c r="DA33" s="285" t="s">
        <v>57</v>
      </c>
      <c r="DB33" s="285" t="s">
        <v>331</v>
      </c>
      <c r="DC33" s="285" t="s">
        <v>56</v>
      </c>
      <c r="DD33" s="511" t="s">
        <v>791</v>
      </c>
      <c r="DE33" s="271" t="s">
        <v>449</v>
      </c>
      <c r="DF33" s="285" t="s">
        <v>57</v>
      </c>
      <c r="DG33" s="285" t="s">
        <v>56</v>
      </c>
      <c r="DH33" s="285" t="s">
        <v>56</v>
      </c>
      <c r="DI33" s="285" t="s">
        <v>57</v>
      </c>
      <c r="DJ33" s="271" t="s">
        <v>365</v>
      </c>
      <c r="DK33" s="272" t="s">
        <v>358</v>
      </c>
      <c r="DL33" s="271" t="s">
        <v>350</v>
      </c>
      <c r="DM33" s="271" t="s">
        <v>365</v>
      </c>
      <c r="DN33" s="272" t="s">
        <v>481</v>
      </c>
      <c r="DO33" s="520" t="s">
        <v>834</v>
      </c>
      <c r="DP33" s="520"/>
      <c r="DQ33" s="527" t="s">
        <v>870</v>
      </c>
      <c r="DR33" s="531" t="s">
        <v>100</v>
      </c>
      <c r="DS33" s="271" t="s">
        <v>101</v>
      </c>
      <c r="DT33" s="105"/>
      <c r="DU33" s="28"/>
      <c r="DV33" s="28"/>
      <c r="DW33" s="28"/>
      <c r="DX33" s="28"/>
      <c r="DY33" s="28"/>
      <c r="DZ33" s="28"/>
      <c r="EA33" s="28"/>
      <c r="EB33" s="28"/>
    </row>
    <row r="34" spans="1:132" ht="172.5" customHeight="1" x14ac:dyDescent="0.2">
      <c r="A34" s="757"/>
      <c r="B34" s="12" t="s">
        <v>450</v>
      </c>
      <c r="C34" s="84"/>
      <c r="D34" s="235">
        <v>208</v>
      </c>
      <c r="E34" s="271" t="s">
        <v>824</v>
      </c>
      <c r="F34" s="272" t="s">
        <v>96</v>
      </c>
      <c r="G34" s="272" t="s">
        <v>95</v>
      </c>
      <c r="H34" s="276" t="s">
        <v>99</v>
      </c>
      <c r="I34" s="275" t="s">
        <v>776</v>
      </c>
      <c r="J34" s="507" t="s">
        <v>451</v>
      </c>
      <c r="K34" s="259" t="s">
        <v>610</v>
      </c>
      <c r="L34" s="276" t="s">
        <v>9</v>
      </c>
      <c r="M34" s="309">
        <f>N33*2500</f>
        <v>2500</v>
      </c>
      <c r="N34" s="301">
        <v>1</v>
      </c>
      <c r="O34" s="11" t="s">
        <v>77</v>
      </c>
      <c r="P34" s="303" t="s">
        <v>77</v>
      </c>
      <c r="Q34" s="139">
        <v>6</v>
      </c>
      <c r="R34" s="266">
        <f>$U$107</f>
        <v>1</v>
      </c>
      <c r="S34" s="4">
        <v>60</v>
      </c>
      <c r="T34" s="4">
        <v>80</v>
      </c>
      <c r="U34" s="4">
        <v>60</v>
      </c>
      <c r="V34" s="4">
        <v>80</v>
      </c>
      <c r="W34" s="189">
        <f t="shared" si="114"/>
        <v>0.93142857142857138</v>
      </c>
      <c r="X34" s="51" t="s">
        <v>373</v>
      </c>
      <c r="Y34" s="145">
        <f t="shared" si="121"/>
        <v>27.396899999999995</v>
      </c>
      <c r="Z34" s="145">
        <f t="shared" si="122"/>
        <v>36.529200000000003</v>
      </c>
      <c r="AA34" s="145">
        <f t="shared" si="37"/>
        <v>12.427233839999998</v>
      </c>
      <c r="AB34" s="145">
        <f t="shared" si="125"/>
        <v>16.569645120000001</v>
      </c>
      <c r="AC34" s="145">
        <f t="shared" si="126"/>
        <v>14.498439479999998</v>
      </c>
      <c r="AD34" s="145">
        <f t="shared" si="123"/>
        <v>4.5661500000000004</v>
      </c>
      <c r="AE34" s="145">
        <f t="shared" si="124"/>
        <v>6.0882000000000005</v>
      </c>
      <c r="AF34" s="145">
        <f t="shared" si="127"/>
        <v>2.0712056400000001</v>
      </c>
      <c r="AG34" s="145">
        <f t="shared" si="128"/>
        <v>2.7616075200000001</v>
      </c>
      <c r="AH34" s="76">
        <v>3000</v>
      </c>
      <c r="AI34" s="76">
        <v>6000</v>
      </c>
      <c r="AJ34" s="76">
        <f t="shared" si="48"/>
        <v>4500</v>
      </c>
      <c r="AK34" s="76">
        <f t="shared" si="131"/>
        <v>3000</v>
      </c>
      <c r="AL34" s="76">
        <f t="shared" si="132"/>
        <v>6000</v>
      </c>
      <c r="AM34" s="76">
        <f t="shared" si="129"/>
        <v>4500</v>
      </c>
      <c r="AN34" s="104">
        <v>0.5</v>
      </c>
      <c r="AO34" s="76">
        <v>0</v>
      </c>
      <c r="AP34" s="76">
        <f t="shared" si="51"/>
        <v>4200</v>
      </c>
      <c r="AQ34" s="76">
        <f t="shared" si="52"/>
        <v>8400</v>
      </c>
      <c r="AR34" s="76">
        <f t="shared" si="53"/>
        <v>6300</v>
      </c>
      <c r="AS34" s="76">
        <v>1500</v>
      </c>
      <c r="AT34" s="76">
        <v>3000</v>
      </c>
      <c r="AU34" s="76">
        <f t="shared" si="59"/>
        <v>2250</v>
      </c>
      <c r="AV34" s="76">
        <f t="shared" si="133"/>
        <v>1500</v>
      </c>
      <c r="AW34" s="76">
        <f t="shared" si="134"/>
        <v>3000</v>
      </c>
      <c r="AX34" s="76">
        <f t="shared" si="130"/>
        <v>2250</v>
      </c>
      <c r="AY34" s="326">
        <v>0.75</v>
      </c>
      <c r="AZ34" s="51">
        <v>0.1</v>
      </c>
      <c r="BA34" s="51">
        <v>0.1</v>
      </c>
      <c r="BB34" s="327" t="s">
        <v>431</v>
      </c>
      <c r="BC34" s="76">
        <f t="shared" ref="BC34:BC48" si="135">AP34*(1+$AZ34)</f>
        <v>4620</v>
      </c>
      <c r="BD34" s="76">
        <f t="shared" ref="BD34:BD48" si="136">AQ34*(1+$AZ34)</f>
        <v>9240</v>
      </c>
      <c r="BE34" s="76">
        <f t="shared" si="42"/>
        <v>6930.0000000000009</v>
      </c>
      <c r="BF34" s="76">
        <f t="shared" ref="BF34:BF48" si="137">AV34*(1+$BA34)</f>
        <v>1650.0000000000002</v>
      </c>
      <c r="BG34" s="76">
        <f t="shared" ref="BG34:BG48" si="138">AW34*(1+$BA34)</f>
        <v>3300.0000000000005</v>
      </c>
      <c r="BH34" s="76">
        <f t="shared" si="7"/>
        <v>2475</v>
      </c>
      <c r="BI34" s="4">
        <v>20</v>
      </c>
      <c r="BJ34" s="76">
        <f>BE34*0.25</f>
        <v>1732.5000000000002</v>
      </c>
      <c r="BK34" s="76">
        <f t="shared" si="8"/>
        <v>1732.5000000000002</v>
      </c>
      <c r="BL34" s="111">
        <f t="shared" si="43"/>
        <v>0</v>
      </c>
      <c r="BM34" s="4">
        <f t="shared" si="9"/>
        <v>639.26099999999997</v>
      </c>
      <c r="BN34" s="4">
        <f t="shared" si="57"/>
        <v>289.96878959999998</v>
      </c>
      <c r="BO34" s="4">
        <f t="shared" si="10"/>
        <v>106.54350000000001</v>
      </c>
      <c r="BP34" s="4">
        <f t="shared" si="58"/>
        <v>48.328131600000006</v>
      </c>
      <c r="BQ34" s="324">
        <f t="shared" si="117"/>
        <v>639.26099999999997</v>
      </c>
      <c r="BR34" s="324">
        <f t="shared" si="118"/>
        <v>289.96878959999998</v>
      </c>
      <c r="BS34" s="324">
        <f t="shared" si="119"/>
        <v>106.54350000000001</v>
      </c>
      <c r="BT34" s="324">
        <f t="shared" si="120"/>
        <v>48.328131600000006</v>
      </c>
      <c r="BU34" s="76" t="str">
        <f t="shared" si="15"/>
        <v>N/A</v>
      </c>
      <c r="BV34" s="111">
        <f t="shared" si="16"/>
        <v>209.06938153325308</v>
      </c>
      <c r="BW34" s="88">
        <f t="shared" si="17"/>
        <v>10.840642554449593</v>
      </c>
      <c r="BX34" s="89">
        <f t="shared" si="18"/>
        <v>48.249417057800279</v>
      </c>
      <c r="BY34" s="89">
        <f t="shared" si="19"/>
        <v>59.090059612249874</v>
      </c>
      <c r="BZ34" s="89">
        <f t="shared" si="20"/>
        <v>23.899123797287462</v>
      </c>
      <c r="CA34" s="89">
        <f t="shared" si="21"/>
        <v>106.3699670586426</v>
      </c>
      <c r="CB34" s="89">
        <f t="shared" si="22"/>
        <v>130.26909085593007</v>
      </c>
      <c r="CC34" s="89">
        <f t="shared" si="23"/>
        <v>65.043855326697553</v>
      </c>
      <c r="CD34" s="89">
        <f t="shared" si="24"/>
        <v>289.49650234680166</v>
      </c>
      <c r="CE34" s="89">
        <f t="shared" si="25"/>
        <v>354.54035767349922</v>
      </c>
      <c r="CF34" s="89">
        <f t="shared" si="26"/>
        <v>143.39474278372475</v>
      </c>
      <c r="CG34" s="89">
        <f t="shared" si="27"/>
        <v>638.21980235185549</v>
      </c>
      <c r="CH34" s="89">
        <f t="shared" si="28"/>
        <v>781.61454513558022</v>
      </c>
      <c r="CI34" s="41">
        <f t="shared" si="110"/>
        <v>689.38402880958188</v>
      </c>
      <c r="CJ34" s="41">
        <f t="shared" si="111"/>
        <v>1838.3574101588854</v>
      </c>
      <c r="CK34" s="41">
        <f t="shared" si="112"/>
        <v>4136.3041728574908</v>
      </c>
      <c r="CL34" s="41">
        <f t="shared" si="113"/>
        <v>11030.14446095331</v>
      </c>
      <c r="CM34" s="346">
        <f t="shared" si="29"/>
        <v>10.840642554449593</v>
      </c>
      <c r="CN34" s="204">
        <f t="shared" si="30"/>
        <v>48.249417057800279</v>
      </c>
      <c r="CO34" s="204">
        <f t="shared" si="44"/>
        <v>59.090059612249874</v>
      </c>
      <c r="CP34" s="204">
        <f t="shared" si="31"/>
        <v>23.899123797287462</v>
      </c>
      <c r="CQ34" s="204">
        <f t="shared" si="32"/>
        <v>106.3699670586426</v>
      </c>
      <c r="CR34" s="204">
        <f t="shared" si="45"/>
        <v>130.26909085593007</v>
      </c>
      <c r="CS34" s="204">
        <f t="shared" si="33"/>
        <v>65.043855326697553</v>
      </c>
      <c r="CT34" s="204">
        <f t="shared" si="34"/>
        <v>289.49650234680166</v>
      </c>
      <c r="CU34" s="204">
        <f t="shared" si="46"/>
        <v>354.54035767349922</v>
      </c>
      <c r="CV34" s="204">
        <f t="shared" si="35"/>
        <v>143.39474278372475</v>
      </c>
      <c r="CW34" s="204">
        <f t="shared" si="36"/>
        <v>638.21980235185549</v>
      </c>
      <c r="CX34" s="204">
        <f t="shared" si="47"/>
        <v>781.61454513558022</v>
      </c>
      <c r="CY34" s="286" t="s">
        <v>118</v>
      </c>
      <c r="CZ34" s="285" t="s">
        <v>57</v>
      </c>
      <c r="DA34" s="285" t="s">
        <v>57</v>
      </c>
      <c r="DB34" s="285" t="s">
        <v>331</v>
      </c>
      <c r="DC34" s="285" t="s">
        <v>56</v>
      </c>
      <c r="DD34" s="511" t="s">
        <v>789</v>
      </c>
      <c r="DE34" s="271" t="s">
        <v>449</v>
      </c>
      <c r="DF34" s="285" t="s">
        <v>57</v>
      </c>
      <c r="DG34" s="285" t="s">
        <v>56</v>
      </c>
      <c r="DH34" s="285" t="s">
        <v>56</v>
      </c>
      <c r="DI34" s="285" t="s">
        <v>57</v>
      </c>
      <c r="DJ34" s="271" t="s">
        <v>365</v>
      </c>
      <c r="DK34" s="272" t="s">
        <v>358</v>
      </c>
      <c r="DL34" s="271" t="s">
        <v>350</v>
      </c>
      <c r="DM34" s="271" t="s">
        <v>365</v>
      </c>
      <c r="DN34" s="272" t="s">
        <v>481</v>
      </c>
      <c r="DO34" s="520" t="s">
        <v>834</v>
      </c>
      <c r="DP34" s="520"/>
      <c r="DQ34" s="527" t="s">
        <v>871</v>
      </c>
      <c r="DR34" s="531" t="s">
        <v>100</v>
      </c>
      <c r="DS34" s="271" t="s">
        <v>101</v>
      </c>
      <c r="DT34" s="105"/>
      <c r="DU34" s="28"/>
      <c r="DV34" s="28"/>
      <c r="DW34" s="28"/>
      <c r="DX34" s="28"/>
      <c r="DY34" s="28"/>
      <c r="DZ34" s="28"/>
      <c r="EA34" s="28"/>
      <c r="EB34" s="28"/>
    </row>
    <row r="35" spans="1:132" ht="297" customHeight="1" x14ac:dyDescent="0.2">
      <c r="A35" s="739" t="s">
        <v>21</v>
      </c>
      <c r="B35" s="13" t="s">
        <v>338</v>
      </c>
      <c r="C35" s="84"/>
      <c r="D35" s="235">
        <v>300</v>
      </c>
      <c r="E35" s="271" t="s">
        <v>798</v>
      </c>
      <c r="F35" s="272" t="s">
        <v>102</v>
      </c>
      <c r="G35" s="272" t="s">
        <v>103</v>
      </c>
      <c r="H35" s="276" t="s">
        <v>86</v>
      </c>
      <c r="I35" s="275" t="s">
        <v>464</v>
      </c>
      <c r="J35" s="507" t="s">
        <v>104</v>
      </c>
      <c r="K35" s="259" t="s">
        <v>593</v>
      </c>
      <c r="L35" s="272" t="s">
        <v>11</v>
      </c>
      <c r="M35" s="307">
        <v>160</v>
      </c>
      <c r="N35" s="302" t="s">
        <v>77</v>
      </c>
      <c r="O35" s="11" t="s">
        <v>77</v>
      </c>
      <c r="P35" s="303">
        <f>M35/$P$2</f>
        <v>1</v>
      </c>
      <c r="Q35" s="589">
        <v>26.25</v>
      </c>
      <c r="R35" s="261">
        <f>$X$110</f>
        <v>6</v>
      </c>
      <c r="S35" s="590">
        <f t="shared" ref="S35:S36" si="139">100*(1-40*(1-0.7)/$Q35)</f>
        <v>54.285714285714285</v>
      </c>
      <c r="T35" s="590">
        <f t="shared" ref="T35:T36" si="140">100*(1-40*(1-0.8)/$Q35)</f>
        <v>69.523809523809533</v>
      </c>
      <c r="U35" s="4">
        <v>25</v>
      </c>
      <c r="V35" s="4">
        <v>50</v>
      </c>
      <c r="W35" s="189">
        <f t="shared" si="114"/>
        <v>0.61904761904761918</v>
      </c>
      <c r="X35" s="51" t="s">
        <v>373</v>
      </c>
      <c r="Y35" s="145">
        <f t="shared" si="121"/>
        <v>6.9405479999999997</v>
      </c>
      <c r="Z35" s="145">
        <f t="shared" si="122"/>
        <v>8.888772000000003</v>
      </c>
      <c r="AA35" s="145">
        <f t="shared" si="37"/>
        <v>3.1482325728</v>
      </c>
      <c r="AB35" s="145">
        <f t="shared" si="125"/>
        <v>4.0319469792000016</v>
      </c>
      <c r="AC35" s="145">
        <f t="shared" si="126"/>
        <v>3.590089776000001</v>
      </c>
      <c r="AD35" s="145">
        <f t="shared" si="123"/>
        <v>0.73058400000000001</v>
      </c>
      <c r="AE35" s="145">
        <f t="shared" si="124"/>
        <v>1.461168</v>
      </c>
      <c r="AF35" s="145">
        <f t="shared" si="127"/>
        <v>0.33139290240000002</v>
      </c>
      <c r="AG35" s="145">
        <f t="shared" si="128"/>
        <v>0.66278580480000004</v>
      </c>
      <c r="AH35" s="76">
        <v>10000</v>
      </c>
      <c r="AI35" s="76">
        <v>15000</v>
      </c>
      <c r="AJ35" s="76">
        <f t="shared" si="48"/>
        <v>12500</v>
      </c>
      <c r="AK35" s="76">
        <f t="shared" si="131"/>
        <v>10000</v>
      </c>
      <c r="AL35" s="76">
        <f t="shared" si="132"/>
        <v>15000</v>
      </c>
      <c r="AM35" s="76">
        <f t="shared" si="129"/>
        <v>12500</v>
      </c>
      <c r="AN35" s="104">
        <v>0.6</v>
      </c>
      <c r="AO35" s="76">
        <v>0</v>
      </c>
      <c r="AP35" s="76">
        <f t="shared" si="51"/>
        <v>14000</v>
      </c>
      <c r="AQ35" s="76">
        <f t="shared" si="52"/>
        <v>21000</v>
      </c>
      <c r="AR35" s="76">
        <f t="shared" si="53"/>
        <v>17500</v>
      </c>
      <c r="AS35" s="76">
        <v>250</v>
      </c>
      <c r="AT35" s="76">
        <v>500</v>
      </c>
      <c r="AU35" s="76">
        <f t="shared" si="59"/>
        <v>375</v>
      </c>
      <c r="AV35" s="76">
        <f t="shared" si="133"/>
        <v>250</v>
      </c>
      <c r="AW35" s="76">
        <f t="shared" si="134"/>
        <v>500</v>
      </c>
      <c r="AX35" s="76">
        <f t="shared" si="130"/>
        <v>375</v>
      </c>
      <c r="AY35" s="326">
        <v>0.1</v>
      </c>
      <c r="AZ35" s="51">
        <v>-0.2</v>
      </c>
      <c r="BA35" s="51">
        <v>0.1</v>
      </c>
      <c r="BB35" s="327" t="s">
        <v>386</v>
      </c>
      <c r="BC35" s="76">
        <f t="shared" si="135"/>
        <v>11200</v>
      </c>
      <c r="BD35" s="76">
        <f t="shared" si="136"/>
        <v>16800</v>
      </c>
      <c r="BE35" s="76">
        <f t="shared" si="42"/>
        <v>14000</v>
      </c>
      <c r="BF35" s="76">
        <f t="shared" si="137"/>
        <v>275</v>
      </c>
      <c r="BG35" s="76">
        <f t="shared" si="138"/>
        <v>550</v>
      </c>
      <c r="BH35" s="76">
        <f t="shared" si="7"/>
        <v>412.50000000000006</v>
      </c>
      <c r="BI35" s="4">
        <v>20</v>
      </c>
      <c r="BJ35" s="76">
        <f>BE35*0.75</f>
        <v>10500</v>
      </c>
      <c r="BK35" s="76">
        <f t="shared" si="8"/>
        <v>10500</v>
      </c>
      <c r="BL35" s="111">
        <f t="shared" si="43"/>
        <v>0</v>
      </c>
      <c r="BM35" s="4">
        <f t="shared" si="9"/>
        <v>158.29320000000001</v>
      </c>
      <c r="BN35" s="4">
        <f t="shared" si="57"/>
        <v>71.801795520000013</v>
      </c>
      <c r="BO35" s="4">
        <f t="shared" si="10"/>
        <v>21.917520000000003</v>
      </c>
      <c r="BP35" s="4">
        <f t="shared" si="58"/>
        <v>9.9417870720000021</v>
      </c>
      <c r="BQ35" s="324">
        <f t="shared" si="117"/>
        <v>158.29320000000001</v>
      </c>
      <c r="BR35" s="324">
        <f t="shared" si="118"/>
        <v>71.801795520000013</v>
      </c>
      <c r="BS35" s="324">
        <f t="shared" si="119"/>
        <v>21.917520000000003</v>
      </c>
      <c r="BT35" s="324">
        <f t="shared" si="120"/>
        <v>9.9417870720000021</v>
      </c>
      <c r="BU35" s="76" t="str">
        <f t="shared" si="15"/>
        <v>N/A</v>
      </c>
      <c r="BV35" s="111">
        <f t="shared" si="16"/>
        <v>427.87105656434625</v>
      </c>
      <c r="BW35" s="88">
        <f t="shared" si="17"/>
        <v>88.443470723947712</v>
      </c>
      <c r="BX35" s="89">
        <f t="shared" si="18"/>
        <v>32.475569173519425</v>
      </c>
      <c r="BY35" s="89">
        <f t="shared" si="19"/>
        <v>120.91903989746714</v>
      </c>
      <c r="BZ35" s="89">
        <f t="shared" si="20"/>
        <v>194.98119648136617</v>
      </c>
      <c r="CA35" s="89">
        <f t="shared" si="21"/>
        <v>71.595170135624826</v>
      </c>
      <c r="CB35" s="89">
        <f t="shared" si="22"/>
        <v>266.57636661699098</v>
      </c>
      <c r="CC35" s="89">
        <f t="shared" si="23"/>
        <v>638.75839967295565</v>
      </c>
      <c r="CD35" s="89">
        <f t="shared" si="24"/>
        <v>234.54577736430693</v>
      </c>
      <c r="CE35" s="89">
        <f t="shared" si="25"/>
        <v>873.30417703726255</v>
      </c>
      <c r="CF35" s="89">
        <f t="shared" si="26"/>
        <v>1408.1975301432001</v>
      </c>
      <c r="CG35" s="89">
        <f t="shared" si="27"/>
        <v>517.07622875729032</v>
      </c>
      <c r="CH35" s="89">
        <f t="shared" si="28"/>
        <v>1925.2737589004905</v>
      </c>
      <c r="CI35" s="41">
        <f t="shared" si="110"/>
        <v>1645.5712717345536</v>
      </c>
      <c r="CJ35" s="41">
        <f t="shared" si="111"/>
        <v>3408.1193139788093</v>
      </c>
      <c r="CK35" s="41">
        <f t="shared" si="112"/>
        <v>10010.558569718538</v>
      </c>
      <c r="CL35" s="41">
        <f t="shared" si="113"/>
        <v>32377.133482798683</v>
      </c>
      <c r="CM35" s="346">
        <f t="shared" si="29"/>
        <v>88.443470723947712</v>
      </c>
      <c r="CN35" s="204">
        <f t="shared" si="30"/>
        <v>32.475569173519425</v>
      </c>
      <c r="CO35" s="204">
        <f t="shared" si="44"/>
        <v>120.91903989746714</v>
      </c>
      <c r="CP35" s="204">
        <f t="shared" si="31"/>
        <v>194.98119648136617</v>
      </c>
      <c r="CQ35" s="204">
        <f t="shared" si="32"/>
        <v>71.595170135624826</v>
      </c>
      <c r="CR35" s="204">
        <f t="shared" si="45"/>
        <v>266.57636661699098</v>
      </c>
      <c r="CS35" s="204">
        <f t="shared" si="33"/>
        <v>638.75839967295565</v>
      </c>
      <c r="CT35" s="204">
        <f t="shared" si="34"/>
        <v>234.54577736430693</v>
      </c>
      <c r="CU35" s="204">
        <f t="shared" si="46"/>
        <v>873.30417703726255</v>
      </c>
      <c r="CV35" s="204">
        <f t="shared" si="35"/>
        <v>1408.1975301432001</v>
      </c>
      <c r="CW35" s="204">
        <f t="shared" si="36"/>
        <v>517.07622875729032</v>
      </c>
      <c r="CX35" s="204">
        <f t="shared" si="47"/>
        <v>1925.2737589004905</v>
      </c>
      <c r="CY35" s="286" t="s">
        <v>118</v>
      </c>
      <c r="CZ35" s="285" t="s">
        <v>57</v>
      </c>
      <c r="DA35" s="285" t="s">
        <v>57</v>
      </c>
      <c r="DB35" s="285" t="s">
        <v>331</v>
      </c>
      <c r="DC35" s="285" t="s">
        <v>56</v>
      </c>
      <c r="DD35" s="271" t="s">
        <v>105</v>
      </c>
      <c r="DE35" s="271" t="s">
        <v>106</v>
      </c>
      <c r="DF35" s="285" t="s">
        <v>57</v>
      </c>
      <c r="DG35" s="285" t="s">
        <v>57</v>
      </c>
      <c r="DH35" s="285" t="s">
        <v>56</v>
      </c>
      <c r="DI35" s="285" t="s">
        <v>57</v>
      </c>
      <c r="DJ35" s="271" t="s">
        <v>360</v>
      </c>
      <c r="DK35" s="83" t="s">
        <v>361</v>
      </c>
      <c r="DL35" s="271" t="s">
        <v>350</v>
      </c>
      <c r="DM35" s="271" t="s">
        <v>360</v>
      </c>
      <c r="DN35" s="83" t="s">
        <v>361</v>
      </c>
      <c r="DO35" s="83" t="s">
        <v>645</v>
      </c>
      <c r="DP35" s="83"/>
      <c r="DQ35" s="527" t="s">
        <v>872</v>
      </c>
      <c r="DR35" s="531" t="s">
        <v>873</v>
      </c>
      <c r="DS35" s="271" t="s">
        <v>452</v>
      </c>
      <c r="DT35" s="105" t="s">
        <v>107</v>
      </c>
      <c r="DU35" s="28"/>
      <c r="DV35" s="28"/>
      <c r="DW35" s="28"/>
      <c r="DX35" s="28"/>
      <c r="DY35" s="28"/>
      <c r="DZ35" s="28"/>
      <c r="EA35" s="28"/>
      <c r="EB35" s="28"/>
    </row>
    <row r="36" spans="1:132" ht="188.25" customHeight="1" x14ac:dyDescent="0.2">
      <c r="A36" s="739"/>
      <c r="B36" s="13" t="s">
        <v>339</v>
      </c>
      <c r="C36" s="84"/>
      <c r="D36" s="235">
        <v>301</v>
      </c>
      <c r="E36" s="271" t="s">
        <v>799</v>
      </c>
      <c r="F36" s="272" t="s">
        <v>102</v>
      </c>
      <c r="G36" s="272" t="s">
        <v>103</v>
      </c>
      <c r="H36" s="276" t="s">
        <v>86</v>
      </c>
      <c r="I36" s="275" t="s">
        <v>464</v>
      </c>
      <c r="J36" s="507" t="s">
        <v>104</v>
      </c>
      <c r="K36" s="259" t="s">
        <v>594</v>
      </c>
      <c r="L36" s="272" t="s">
        <v>11</v>
      </c>
      <c r="M36" s="307">
        <v>160</v>
      </c>
      <c r="N36" s="302" t="s">
        <v>77</v>
      </c>
      <c r="O36" s="11" t="s">
        <v>77</v>
      </c>
      <c r="P36" s="303">
        <f>M36/$P$2</f>
        <v>1</v>
      </c>
      <c r="Q36" s="589">
        <v>26.25</v>
      </c>
      <c r="R36" s="261">
        <f>$X$110</f>
        <v>6</v>
      </c>
      <c r="S36" s="590">
        <f t="shared" si="139"/>
        <v>54.285714285714285</v>
      </c>
      <c r="T36" s="590">
        <f t="shared" si="140"/>
        <v>69.523809523809533</v>
      </c>
      <c r="U36" s="4">
        <v>85</v>
      </c>
      <c r="V36" s="4">
        <v>95</v>
      </c>
      <c r="W36" s="189">
        <f t="shared" si="114"/>
        <v>0.61904761904761918</v>
      </c>
      <c r="X36" s="51" t="s">
        <v>373</v>
      </c>
      <c r="Y36" s="145">
        <f t="shared" si="121"/>
        <v>6.9405479999999997</v>
      </c>
      <c r="Z36" s="145">
        <f t="shared" si="122"/>
        <v>8.888772000000003</v>
      </c>
      <c r="AA36" s="145">
        <f t="shared" si="37"/>
        <v>3.1482325728</v>
      </c>
      <c r="AB36" s="145">
        <f t="shared" si="125"/>
        <v>4.0319469792000016</v>
      </c>
      <c r="AC36" s="145">
        <f t="shared" si="126"/>
        <v>3.590089776000001</v>
      </c>
      <c r="AD36" s="145">
        <f t="shared" si="123"/>
        <v>2.4839856</v>
      </c>
      <c r="AE36" s="145">
        <f t="shared" si="124"/>
        <v>2.7762191999999999</v>
      </c>
      <c r="AF36" s="145">
        <f t="shared" si="127"/>
        <v>1.1267358681599999</v>
      </c>
      <c r="AG36" s="145">
        <f t="shared" si="128"/>
        <v>1.25929302912</v>
      </c>
      <c r="AH36" s="76">
        <v>8000</v>
      </c>
      <c r="AI36" s="76">
        <v>15000</v>
      </c>
      <c r="AJ36" s="76">
        <f t="shared" si="48"/>
        <v>11500</v>
      </c>
      <c r="AK36" s="76">
        <f t="shared" si="131"/>
        <v>8000</v>
      </c>
      <c r="AL36" s="76">
        <f t="shared" si="132"/>
        <v>15000</v>
      </c>
      <c r="AM36" s="76">
        <f t="shared" si="129"/>
        <v>11500</v>
      </c>
      <c r="AN36" s="104">
        <v>0.6</v>
      </c>
      <c r="AO36" s="76">
        <v>0</v>
      </c>
      <c r="AP36" s="76">
        <f t="shared" si="51"/>
        <v>11200</v>
      </c>
      <c r="AQ36" s="76">
        <f t="shared" si="52"/>
        <v>21000</v>
      </c>
      <c r="AR36" s="76">
        <f t="shared" si="53"/>
        <v>16100</v>
      </c>
      <c r="AS36" s="76">
        <v>750</v>
      </c>
      <c r="AT36" s="76">
        <v>1000</v>
      </c>
      <c r="AU36" s="76">
        <f t="shared" si="59"/>
        <v>875</v>
      </c>
      <c r="AV36" s="76">
        <f t="shared" si="133"/>
        <v>750</v>
      </c>
      <c r="AW36" s="76">
        <f t="shared" si="134"/>
        <v>1000</v>
      </c>
      <c r="AX36" s="76">
        <f t="shared" si="130"/>
        <v>875</v>
      </c>
      <c r="AY36" s="326">
        <v>0.1</v>
      </c>
      <c r="AZ36" s="51">
        <v>-0.2</v>
      </c>
      <c r="BA36" s="51">
        <v>0.1</v>
      </c>
      <c r="BB36" s="327" t="s">
        <v>386</v>
      </c>
      <c r="BC36" s="76">
        <f t="shared" si="135"/>
        <v>8960</v>
      </c>
      <c r="BD36" s="76">
        <f t="shared" si="136"/>
        <v>16800</v>
      </c>
      <c r="BE36" s="76">
        <f t="shared" si="42"/>
        <v>12880</v>
      </c>
      <c r="BF36" s="76">
        <f t="shared" si="137"/>
        <v>825.00000000000011</v>
      </c>
      <c r="BG36" s="76">
        <f t="shared" si="138"/>
        <v>1100</v>
      </c>
      <c r="BH36" s="76">
        <f t="shared" si="7"/>
        <v>962.50000000000011</v>
      </c>
      <c r="BI36" s="4">
        <v>20</v>
      </c>
      <c r="BJ36" s="76">
        <f>BE36*0.75</f>
        <v>9660</v>
      </c>
      <c r="BK36" s="76">
        <f t="shared" si="8"/>
        <v>9660</v>
      </c>
      <c r="BL36" s="111">
        <f t="shared" si="43"/>
        <v>0</v>
      </c>
      <c r="BM36" s="4">
        <f t="shared" si="9"/>
        <v>158.29320000000001</v>
      </c>
      <c r="BN36" s="4">
        <f t="shared" si="57"/>
        <v>71.801795520000013</v>
      </c>
      <c r="BO36" s="4">
        <f t="shared" si="10"/>
        <v>52.602048000000003</v>
      </c>
      <c r="BP36" s="4">
        <f t="shared" si="58"/>
        <v>23.860288972800003</v>
      </c>
      <c r="BQ36" s="324">
        <f t="shared" si="117"/>
        <v>158.29320000000001</v>
      </c>
      <c r="BR36" s="324">
        <f t="shared" si="118"/>
        <v>71.801795520000013</v>
      </c>
      <c r="BS36" s="324">
        <f t="shared" si="119"/>
        <v>52.602048000000003</v>
      </c>
      <c r="BT36" s="324">
        <f t="shared" si="120"/>
        <v>23.860288972800003</v>
      </c>
      <c r="BU36" s="76" t="str">
        <f t="shared" si="15"/>
        <v>N/A</v>
      </c>
      <c r="BV36" s="111">
        <f t="shared" si="16"/>
        <v>556.03285425153626</v>
      </c>
      <c r="BW36" s="88">
        <f t="shared" si="17"/>
        <v>81.367993066031886</v>
      </c>
      <c r="BX36" s="89">
        <f t="shared" si="18"/>
        <v>75.776328071545308</v>
      </c>
      <c r="BY36" s="89">
        <f t="shared" si="19"/>
        <v>157.14432113757721</v>
      </c>
      <c r="BZ36" s="89">
        <f t="shared" si="20"/>
        <v>179.38270076285687</v>
      </c>
      <c r="CA36" s="89">
        <f t="shared" si="21"/>
        <v>167.05539698312455</v>
      </c>
      <c r="CB36" s="89">
        <f t="shared" si="22"/>
        <v>346.43809774598139</v>
      </c>
      <c r="CC36" s="89">
        <f t="shared" si="23"/>
        <v>244.85738654129966</v>
      </c>
      <c r="CD36" s="89">
        <f t="shared" si="24"/>
        <v>228.03061688196505</v>
      </c>
      <c r="CE36" s="89">
        <f t="shared" si="25"/>
        <v>472.88800342326471</v>
      </c>
      <c r="CF36" s="89">
        <f t="shared" si="26"/>
        <v>539.80905322156013</v>
      </c>
      <c r="CG36" s="89">
        <f t="shared" si="27"/>
        <v>502.71300018069894</v>
      </c>
      <c r="CH36" s="89">
        <f t="shared" si="28"/>
        <v>1042.5220534022592</v>
      </c>
      <c r="CI36" s="41">
        <f t="shared" si="110"/>
        <v>2164.6773629243144</v>
      </c>
      <c r="CJ36" s="41">
        <f t="shared" si="111"/>
        <v>4395.6804818285227</v>
      </c>
      <c r="CK36" s="41">
        <f t="shared" si="112"/>
        <v>6930.7652409418861</v>
      </c>
      <c r="CL36" s="41">
        <f t="shared" si="113"/>
        <v>12282.048405109106</v>
      </c>
      <c r="CM36" s="346">
        <f t="shared" si="29"/>
        <v>81.367993066031886</v>
      </c>
      <c r="CN36" s="204">
        <f t="shared" si="30"/>
        <v>75.776328071545308</v>
      </c>
      <c r="CO36" s="204">
        <f t="shared" si="44"/>
        <v>157.14432113757721</v>
      </c>
      <c r="CP36" s="204">
        <f t="shared" si="31"/>
        <v>179.38270076285687</v>
      </c>
      <c r="CQ36" s="204">
        <f t="shared" si="32"/>
        <v>167.05539698312455</v>
      </c>
      <c r="CR36" s="204">
        <f t="shared" si="45"/>
        <v>346.43809774598139</v>
      </c>
      <c r="CS36" s="204">
        <f t="shared" si="33"/>
        <v>244.85738654129966</v>
      </c>
      <c r="CT36" s="204">
        <f t="shared" si="34"/>
        <v>228.03061688196505</v>
      </c>
      <c r="CU36" s="204">
        <f t="shared" si="46"/>
        <v>472.88800342326471</v>
      </c>
      <c r="CV36" s="204">
        <f t="shared" si="35"/>
        <v>539.80905322156013</v>
      </c>
      <c r="CW36" s="204">
        <f t="shared" si="36"/>
        <v>502.71300018069894</v>
      </c>
      <c r="CX36" s="204">
        <f t="shared" si="47"/>
        <v>1042.5220534022592</v>
      </c>
      <c r="CY36" s="286" t="s">
        <v>118</v>
      </c>
      <c r="CZ36" s="285" t="s">
        <v>57</v>
      </c>
      <c r="DA36" s="285" t="s">
        <v>57</v>
      </c>
      <c r="DB36" s="285" t="s">
        <v>331</v>
      </c>
      <c r="DC36" s="285" t="s">
        <v>56</v>
      </c>
      <c r="DD36" s="271" t="s">
        <v>284</v>
      </c>
      <c r="DE36" s="271" t="s">
        <v>271</v>
      </c>
      <c r="DF36" s="285" t="s">
        <v>57</v>
      </c>
      <c r="DG36" s="285" t="s">
        <v>57</v>
      </c>
      <c r="DH36" s="285" t="s">
        <v>56</v>
      </c>
      <c r="DI36" s="285" t="s">
        <v>57</v>
      </c>
      <c r="DJ36" s="271" t="s">
        <v>360</v>
      </c>
      <c r="DK36" s="83" t="s">
        <v>361</v>
      </c>
      <c r="DL36" s="271" t="s">
        <v>350</v>
      </c>
      <c r="DM36" s="271" t="s">
        <v>360</v>
      </c>
      <c r="DN36" s="83" t="s">
        <v>361</v>
      </c>
      <c r="DO36" s="83" t="s">
        <v>645</v>
      </c>
      <c r="DP36" s="83"/>
      <c r="DQ36" s="527" t="s">
        <v>874</v>
      </c>
      <c r="DR36" s="533" t="s">
        <v>875</v>
      </c>
      <c r="DS36" s="107" t="s">
        <v>378</v>
      </c>
      <c r="DT36" s="108" t="s">
        <v>55</v>
      </c>
      <c r="DU36" s="28"/>
      <c r="DV36" s="28"/>
      <c r="DW36" s="28"/>
      <c r="DX36" s="28"/>
      <c r="DY36" s="28"/>
      <c r="DZ36" s="28"/>
      <c r="EA36" s="28"/>
      <c r="EB36" s="28"/>
    </row>
    <row r="37" spans="1:132" ht="141.75" customHeight="1" x14ac:dyDescent="0.2">
      <c r="A37" s="739"/>
      <c r="B37" s="13" t="s">
        <v>340</v>
      </c>
      <c r="C37" s="84"/>
      <c r="D37" s="235">
        <v>302</v>
      </c>
      <c r="E37" s="271" t="s">
        <v>800</v>
      </c>
      <c r="F37" s="272" t="s">
        <v>102</v>
      </c>
      <c r="G37" s="272" t="s">
        <v>103</v>
      </c>
      <c r="H37" s="276" t="s">
        <v>86</v>
      </c>
      <c r="I37" s="275" t="s">
        <v>464</v>
      </c>
      <c r="J37" s="507" t="s">
        <v>104</v>
      </c>
      <c r="K37" s="259" t="s">
        <v>595</v>
      </c>
      <c r="L37" s="272" t="s">
        <v>11</v>
      </c>
      <c r="M37" s="307">
        <v>160</v>
      </c>
      <c r="N37" s="302" t="s">
        <v>77</v>
      </c>
      <c r="O37" s="11" t="s">
        <v>77</v>
      </c>
      <c r="P37" s="303">
        <f>M37/$P$2</f>
        <v>1</v>
      </c>
      <c r="Q37" s="589">
        <v>26.25</v>
      </c>
      <c r="R37" s="261">
        <f>$X$110</f>
        <v>6</v>
      </c>
      <c r="S37" s="590">
        <f>100*(1-40*(1-0.7)/$Q37)</f>
        <v>54.285714285714285</v>
      </c>
      <c r="T37" s="590">
        <f>100*(1-40*(1-0.8)/$Q37)</f>
        <v>69.523809523809533</v>
      </c>
      <c r="U37" s="4">
        <v>85</v>
      </c>
      <c r="V37" s="4">
        <v>95</v>
      </c>
      <c r="W37" s="189">
        <f t="shared" si="114"/>
        <v>0.61904761904761918</v>
      </c>
      <c r="X37" s="51" t="s">
        <v>373</v>
      </c>
      <c r="Y37" s="145">
        <f t="shared" si="121"/>
        <v>6.9405479999999997</v>
      </c>
      <c r="Z37" s="145">
        <f t="shared" si="122"/>
        <v>8.888772000000003</v>
      </c>
      <c r="AA37" s="145">
        <f t="shared" si="37"/>
        <v>3.1482325728</v>
      </c>
      <c r="AB37" s="145">
        <f t="shared" ref="AB37:AB48" si="141">Z37*0.4536</f>
        <v>4.0319469792000016</v>
      </c>
      <c r="AC37" s="145">
        <f t="shared" ref="AC37:AC48" si="142">(AA37+AB37)/2</f>
        <v>3.590089776000001</v>
      </c>
      <c r="AD37" s="145">
        <f t="shared" si="123"/>
        <v>2.4839856</v>
      </c>
      <c r="AE37" s="145">
        <f t="shared" si="124"/>
        <v>2.7762191999999999</v>
      </c>
      <c r="AF37" s="145">
        <f t="shared" ref="AF37:AF48" si="143">AD37*0.4536</f>
        <v>1.1267358681599999</v>
      </c>
      <c r="AG37" s="145">
        <f t="shared" ref="AG37:AG48" si="144">AE37*0.4536</f>
        <v>1.25929302912</v>
      </c>
      <c r="AH37" s="76">
        <v>4000</v>
      </c>
      <c r="AI37" s="76">
        <v>8000</v>
      </c>
      <c r="AJ37" s="76">
        <f t="shared" si="48"/>
        <v>6000</v>
      </c>
      <c r="AK37" s="76">
        <f t="shared" si="131"/>
        <v>4000</v>
      </c>
      <c r="AL37" s="76">
        <f t="shared" si="132"/>
        <v>8000</v>
      </c>
      <c r="AM37" s="76">
        <f t="shared" si="129"/>
        <v>6000</v>
      </c>
      <c r="AN37" s="104">
        <v>0.6</v>
      </c>
      <c r="AO37" s="76">
        <v>0</v>
      </c>
      <c r="AP37" s="76">
        <f t="shared" si="51"/>
        <v>5600</v>
      </c>
      <c r="AQ37" s="76">
        <f t="shared" si="52"/>
        <v>11200</v>
      </c>
      <c r="AR37" s="76">
        <f t="shared" si="53"/>
        <v>8400</v>
      </c>
      <c r="AS37" s="76">
        <v>500</v>
      </c>
      <c r="AT37" s="76">
        <v>750</v>
      </c>
      <c r="AU37" s="76">
        <f t="shared" si="59"/>
        <v>625</v>
      </c>
      <c r="AV37" s="76">
        <f t="shared" si="133"/>
        <v>500</v>
      </c>
      <c r="AW37" s="76">
        <f t="shared" si="134"/>
        <v>750</v>
      </c>
      <c r="AX37" s="76">
        <f t="shared" si="130"/>
        <v>625</v>
      </c>
      <c r="AY37" s="326">
        <v>0.1</v>
      </c>
      <c r="AZ37" s="51">
        <v>-0.2</v>
      </c>
      <c r="BA37" s="51">
        <v>0.1</v>
      </c>
      <c r="BB37" s="327" t="s">
        <v>386</v>
      </c>
      <c r="BC37" s="76">
        <f t="shared" si="135"/>
        <v>4480</v>
      </c>
      <c r="BD37" s="76">
        <f t="shared" si="136"/>
        <v>8960</v>
      </c>
      <c r="BE37" s="76">
        <f t="shared" si="42"/>
        <v>6720</v>
      </c>
      <c r="BF37" s="76">
        <f t="shared" si="137"/>
        <v>550</v>
      </c>
      <c r="BG37" s="76">
        <f t="shared" si="138"/>
        <v>825.00000000000011</v>
      </c>
      <c r="BH37" s="76">
        <f t="shared" si="7"/>
        <v>687.5</v>
      </c>
      <c r="BI37" s="4">
        <v>20</v>
      </c>
      <c r="BJ37" s="76">
        <f>BE37*0.75</f>
        <v>5040</v>
      </c>
      <c r="BK37" s="76">
        <f t="shared" si="8"/>
        <v>5040</v>
      </c>
      <c r="BL37" s="111">
        <f t="shared" si="43"/>
        <v>0</v>
      </c>
      <c r="BM37" s="4">
        <f t="shared" si="9"/>
        <v>158.29320000000001</v>
      </c>
      <c r="BN37" s="4">
        <f t="shared" si="57"/>
        <v>71.801795520000013</v>
      </c>
      <c r="BO37" s="4">
        <f t="shared" si="10"/>
        <v>52.602048000000003</v>
      </c>
      <c r="BP37" s="4">
        <f t="shared" si="58"/>
        <v>23.860288972800003</v>
      </c>
      <c r="BQ37" s="324">
        <f t="shared" si="117"/>
        <v>158.29320000000001</v>
      </c>
      <c r="BR37" s="324">
        <f t="shared" si="118"/>
        <v>71.801795520000013</v>
      </c>
      <c r="BS37" s="324">
        <f t="shared" si="119"/>
        <v>52.602048000000003</v>
      </c>
      <c r="BT37" s="324">
        <f t="shared" si="120"/>
        <v>23.860288972800003</v>
      </c>
      <c r="BU37" s="76" t="str">
        <f t="shared" si="15"/>
        <v>N/A</v>
      </c>
      <c r="BV37" s="111">
        <f t="shared" si="16"/>
        <v>341.72567240464144</v>
      </c>
      <c r="BW37" s="88">
        <f t="shared" si="17"/>
        <v>42.4528659474949</v>
      </c>
      <c r="BX37" s="89">
        <f t="shared" si="18"/>
        <v>54.125948622532356</v>
      </c>
      <c r="BY37" s="89">
        <f t="shared" si="19"/>
        <v>96.578814570027248</v>
      </c>
      <c r="BZ37" s="89">
        <f t="shared" si="20"/>
        <v>93.59097431105576</v>
      </c>
      <c r="CA37" s="89">
        <f t="shared" si="21"/>
        <v>119.32528355937467</v>
      </c>
      <c r="CB37" s="89">
        <f t="shared" si="22"/>
        <v>212.91625787043043</v>
      </c>
      <c r="CC37" s="89">
        <f t="shared" si="23"/>
        <v>127.75167993459114</v>
      </c>
      <c r="CD37" s="89">
        <f t="shared" si="24"/>
        <v>162.87901205854644</v>
      </c>
      <c r="CE37" s="89">
        <f t="shared" si="25"/>
        <v>290.63069199313759</v>
      </c>
      <c r="CF37" s="89">
        <f t="shared" si="26"/>
        <v>281.63950602864003</v>
      </c>
      <c r="CG37" s="89">
        <f t="shared" si="27"/>
        <v>359.08071441478489</v>
      </c>
      <c r="CH37" s="89">
        <f t="shared" si="28"/>
        <v>640.72022044342498</v>
      </c>
      <c r="CI37" s="41">
        <f t="shared" si="110"/>
        <v>1275.1160327204916</v>
      </c>
      <c r="CJ37" s="41">
        <f t="shared" si="111"/>
        <v>2772.3060963767543</v>
      </c>
      <c r="CK37" s="41">
        <f t="shared" si="112"/>
        <v>4082.6083503770137</v>
      </c>
      <c r="CL37" s="41">
        <f t="shared" si="113"/>
        <v>7746.1493869350479</v>
      </c>
      <c r="CM37" s="346">
        <f t="shared" si="29"/>
        <v>42.4528659474949</v>
      </c>
      <c r="CN37" s="204">
        <f t="shared" si="30"/>
        <v>54.125948622532356</v>
      </c>
      <c r="CO37" s="204">
        <f t="shared" si="44"/>
        <v>96.578814570027248</v>
      </c>
      <c r="CP37" s="204">
        <f t="shared" si="31"/>
        <v>93.59097431105576</v>
      </c>
      <c r="CQ37" s="204">
        <f t="shared" si="32"/>
        <v>119.32528355937467</v>
      </c>
      <c r="CR37" s="204">
        <f t="shared" si="45"/>
        <v>212.91625787043043</v>
      </c>
      <c r="CS37" s="204">
        <f t="shared" si="33"/>
        <v>127.75167993459114</v>
      </c>
      <c r="CT37" s="204">
        <f t="shared" si="34"/>
        <v>162.87901205854644</v>
      </c>
      <c r="CU37" s="204">
        <f t="shared" si="46"/>
        <v>290.63069199313759</v>
      </c>
      <c r="CV37" s="204">
        <f t="shared" si="35"/>
        <v>281.63950602864003</v>
      </c>
      <c r="CW37" s="204">
        <f t="shared" si="36"/>
        <v>359.08071441478489</v>
      </c>
      <c r="CX37" s="204">
        <f t="shared" si="47"/>
        <v>640.72022044342498</v>
      </c>
      <c r="CY37" s="286" t="s">
        <v>118</v>
      </c>
      <c r="CZ37" s="285" t="s">
        <v>57</v>
      </c>
      <c r="DA37" s="285" t="s">
        <v>57</v>
      </c>
      <c r="DB37" s="285" t="s">
        <v>331</v>
      </c>
      <c r="DC37" s="285" t="s">
        <v>56</v>
      </c>
      <c r="DD37" s="271" t="s">
        <v>108</v>
      </c>
      <c r="DE37" s="271" t="s">
        <v>246</v>
      </c>
      <c r="DF37" s="285" t="s">
        <v>57</v>
      </c>
      <c r="DG37" s="285" t="s">
        <v>57</v>
      </c>
      <c r="DH37" s="285" t="s">
        <v>56</v>
      </c>
      <c r="DI37" s="285" t="s">
        <v>57</v>
      </c>
      <c r="DJ37" s="271" t="s">
        <v>360</v>
      </c>
      <c r="DK37" s="83" t="s">
        <v>361</v>
      </c>
      <c r="DL37" s="271" t="s">
        <v>350</v>
      </c>
      <c r="DM37" s="271" t="s">
        <v>360</v>
      </c>
      <c r="DN37" s="83" t="s">
        <v>361</v>
      </c>
      <c r="DO37" s="83" t="s">
        <v>132</v>
      </c>
      <c r="DP37" s="83"/>
      <c r="DQ37" s="527" t="s">
        <v>876</v>
      </c>
      <c r="DR37" s="531" t="s">
        <v>877</v>
      </c>
      <c r="DS37" s="271" t="s">
        <v>379</v>
      </c>
      <c r="DT37" s="105" t="s">
        <v>109</v>
      </c>
      <c r="DU37" s="28"/>
      <c r="DV37" s="28"/>
      <c r="DW37" s="28"/>
      <c r="DX37" s="28"/>
      <c r="DY37" s="28"/>
      <c r="DZ37" s="28"/>
      <c r="EA37" s="28"/>
      <c r="EB37" s="28"/>
    </row>
    <row r="38" spans="1:132" ht="165" customHeight="1" x14ac:dyDescent="0.2">
      <c r="A38" s="739"/>
      <c r="B38" s="13" t="s">
        <v>341</v>
      </c>
      <c r="C38" s="84"/>
      <c r="D38" s="235">
        <v>303</v>
      </c>
      <c r="E38" s="358" t="s">
        <v>801</v>
      </c>
      <c r="F38" s="359" t="s">
        <v>102</v>
      </c>
      <c r="G38" s="359" t="s">
        <v>103</v>
      </c>
      <c r="H38" s="356" t="s">
        <v>86</v>
      </c>
      <c r="I38" s="357" t="s">
        <v>464</v>
      </c>
      <c r="J38" s="507" t="s">
        <v>104</v>
      </c>
      <c r="K38" s="259" t="s">
        <v>596</v>
      </c>
      <c r="L38" s="359" t="s">
        <v>11</v>
      </c>
      <c r="M38" s="307">
        <v>160</v>
      </c>
      <c r="N38" s="302" t="s">
        <v>77</v>
      </c>
      <c r="O38" s="11" t="s">
        <v>77</v>
      </c>
      <c r="P38" s="303">
        <f>M38/$P$2</f>
        <v>1</v>
      </c>
      <c r="Q38" s="589">
        <v>26.25</v>
      </c>
      <c r="R38" s="261">
        <f>$X$110-2</f>
        <v>4</v>
      </c>
      <c r="S38" s="590">
        <f>100*(1-40*(1-0.4)/$Q38)</f>
        <v>8.5714285714285747</v>
      </c>
      <c r="T38" s="590">
        <f>100*(1-40*(1-0.6)/$Q38)</f>
        <v>39.047619047619044</v>
      </c>
      <c r="U38" s="4">
        <v>25</v>
      </c>
      <c r="V38" s="4">
        <v>50</v>
      </c>
      <c r="W38" s="189">
        <f t="shared" ref="W38" si="145">($Q$53-($Q$53*(($T$53+$S$53)/2)/100)-(Q38-(Q38*((T38+S38)/2)/100)))/($Q$53-($Q$53*(($T$53+$S$53)/2)/100))</f>
        <v>0.23809523809523808</v>
      </c>
      <c r="X38" s="51" t="s">
        <v>373</v>
      </c>
      <c r="Y38" s="145">
        <f t="shared" si="121"/>
        <v>1.0958760000000005</v>
      </c>
      <c r="Z38" s="145">
        <f t="shared" si="122"/>
        <v>4.9923239999999991</v>
      </c>
      <c r="AA38" s="145">
        <f t="shared" ref="AA38" si="146">Y38*0.4536</f>
        <v>0.49708935360000023</v>
      </c>
      <c r="AB38" s="145">
        <f t="shared" ref="AB38" si="147">Z38*0.4536</f>
        <v>2.2645181663999998</v>
      </c>
      <c r="AC38" s="145">
        <f t="shared" ref="AC38" si="148">(AA38+AB38)/2</f>
        <v>1.38080376</v>
      </c>
      <c r="AD38" s="145">
        <f t="shared" si="123"/>
        <v>0.48705600000000004</v>
      </c>
      <c r="AE38" s="145">
        <f t="shared" si="124"/>
        <v>0.97411200000000009</v>
      </c>
      <c r="AF38" s="145">
        <f t="shared" ref="AF38" si="149">AD38*0.4536</f>
        <v>0.22092860160000002</v>
      </c>
      <c r="AG38" s="145">
        <f t="shared" ref="AG38" si="150">AE38*0.4536</f>
        <v>0.44185720320000005</v>
      </c>
      <c r="AH38" s="76">
        <v>8000</v>
      </c>
      <c r="AI38" s="76">
        <v>12000</v>
      </c>
      <c r="AJ38" s="76">
        <f t="shared" ref="AJ38" si="151">(AH38+AI38)/2</f>
        <v>10000</v>
      </c>
      <c r="AK38" s="76">
        <f t="shared" ref="AK38" si="152">AH38*($AA$109/$AA$107)</f>
        <v>8000</v>
      </c>
      <c r="AL38" s="76">
        <f t="shared" ref="AL38" si="153">AI38*($AA$109/$AA$107)</f>
        <v>12000</v>
      </c>
      <c r="AM38" s="76">
        <f t="shared" ref="AM38" si="154">AJ38*($AA$109/$AA$107)</f>
        <v>10000</v>
      </c>
      <c r="AN38" s="104">
        <v>0.6</v>
      </c>
      <c r="AO38" s="76">
        <v>0</v>
      </c>
      <c r="AP38" s="76">
        <f t="shared" ref="AP38" si="155">(AK38*(1+$AN$2))+AO38</f>
        <v>11200</v>
      </c>
      <c r="AQ38" s="76">
        <f t="shared" ref="AQ38" si="156">(AL38*(1+$AN$2))+AO38</f>
        <v>16800</v>
      </c>
      <c r="AR38" s="76">
        <f t="shared" ref="AR38" si="157">(AP38+AQ38)/2</f>
        <v>14000</v>
      </c>
      <c r="AS38" s="76">
        <v>270</v>
      </c>
      <c r="AT38" s="76">
        <v>450</v>
      </c>
      <c r="AU38" s="76">
        <f t="shared" ref="AU38" si="158">(AS38+AT38)/2</f>
        <v>360</v>
      </c>
      <c r="AV38" s="76">
        <f t="shared" ref="AV38" si="159">AS38*($AA$109/$AA$107)</f>
        <v>270</v>
      </c>
      <c r="AW38" s="76">
        <f t="shared" ref="AW38" si="160">AT38*($AA$109/$AA$107)</f>
        <v>450</v>
      </c>
      <c r="AX38" s="76">
        <f t="shared" ref="AX38" si="161">AU38*($AA$109/$AA$107)</f>
        <v>360</v>
      </c>
      <c r="AY38" s="326">
        <v>0.25</v>
      </c>
      <c r="AZ38" s="51">
        <v>-0.2</v>
      </c>
      <c r="BA38" s="51">
        <v>0.1</v>
      </c>
      <c r="BB38" s="327" t="s">
        <v>386</v>
      </c>
      <c r="BC38" s="76">
        <f t="shared" ref="BC38" si="162">AP38*(1+$AZ38)</f>
        <v>8960</v>
      </c>
      <c r="BD38" s="76">
        <f t="shared" ref="BD38" si="163">AQ38*(1+$AZ38)</f>
        <v>13440</v>
      </c>
      <c r="BE38" s="76">
        <f t="shared" ref="BE38" si="164">AR38*(1+$AZ38)</f>
        <v>11200</v>
      </c>
      <c r="BF38" s="76">
        <f t="shared" ref="BF38" si="165">AV38*(1+$BA38)</f>
        <v>297</v>
      </c>
      <c r="BG38" s="76">
        <f t="shared" ref="BG38" si="166">AW38*(1+$BA38)</f>
        <v>495.00000000000006</v>
      </c>
      <c r="BH38" s="76">
        <f t="shared" ref="BH38" si="167">AX38*(1+$BA38)</f>
        <v>396.00000000000006</v>
      </c>
      <c r="BI38" s="4">
        <v>20</v>
      </c>
      <c r="BJ38" s="76">
        <f>BE38*0.75</f>
        <v>8400</v>
      </c>
      <c r="BK38" s="76">
        <f t="shared" ref="BK38" si="168">IF(($CB$2/BI38)&gt;0,((($CB$2/BI38))*BJ38),0)</f>
        <v>8400</v>
      </c>
      <c r="BL38" s="111">
        <f t="shared" ref="BL38" si="169">PV(((1+$BY$2)^BI38)-1,ROUNDUP($CB$2/BI38-1,0),-BJ38,0,0)</f>
        <v>0</v>
      </c>
      <c r="BM38" s="4">
        <f t="shared" si="9"/>
        <v>60.881999999999998</v>
      </c>
      <c r="BN38" s="4">
        <f t="shared" ref="BN38" si="170">BM38*0.4536</f>
        <v>27.616075200000001</v>
      </c>
      <c r="BO38" s="4">
        <f t="shared" si="10"/>
        <v>14.611680000000003</v>
      </c>
      <c r="BP38" s="4">
        <f t="shared" ref="BP38" si="171">BO38*0.4536</f>
        <v>6.627858048000002</v>
      </c>
      <c r="BQ38" s="324">
        <f t="shared" ref="BQ38" si="172">IF($Q38&lt;$W$122,BM38,(BM38-((BM38/$Q38)*($Q38-$W$122))))</f>
        <v>60.881999999999998</v>
      </c>
      <c r="BR38" s="324">
        <f t="shared" ref="BR38" si="173">IF($Q38&lt;$W$122,BN38,(BN38-((BN38/$Q38)*($Q38-$W$122))))</f>
        <v>27.616075200000001</v>
      </c>
      <c r="BS38" s="324">
        <f t="shared" ref="BS38" si="174">IF($R38&lt;$X$122,BO38,(BO38-((BO38/$R38)*($R38-$X$122))))</f>
        <v>14.611680000000003</v>
      </c>
      <c r="BT38" s="324">
        <f t="shared" ref="BT38" si="175">IF($R38&lt;$X$122,BP38,(BP38-((BP38/$R38)*($R38-$X$122))))</f>
        <v>6.627858048000002</v>
      </c>
      <c r="BU38" s="76" t="str">
        <f t="shared" ref="BU38" si="176">IF((Y38+Z38+AD38+AE38=0),(BE38+PV($BY$2,$CB$2,-BH38,0,0)),"N/A")</f>
        <v>N/A</v>
      </c>
      <c r="BV38" s="111">
        <f t="shared" ref="BV38" si="177">((BE38/12.46)+BH38)/((AA38+AB38)/2)</f>
        <v>937.77004524841539</v>
      </c>
      <c r="BW38" s="88">
        <f t="shared" si="17"/>
        <v>183.96241910581125</v>
      </c>
      <c r="BX38" s="89">
        <f t="shared" si="18"/>
        <v>81.059020657104497</v>
      </c>
      <c r="BY38" s="89">
        <f t="shared" ref="BY38" si="178">BW38+BX38</f>
        <v>265.02143976291575</v>
      </c>
      <c r="BZ38" s="89">
        <f t="shared" si="20"/>
        <v>405.56088868124169</v>
      </c>
      <c r="CA38" s="89">
        <f t="shared" si="21"/>
        <v>178.70154465851959</v>
      </c>
      <c r="CB38" s="89">
        <f t="shared" ref="CB38" si="179">BZ38+CA38</f>
        <v>584.26243333976129</v>
      </c>
      <c r="CC38" s="89">
        <f t="shared" si="23"/>
        <v>766.51007960754669</v>
      </c>
      <c r="CD38" s="89">
        <f t="shared" si="24"/>
        <v>337.74591940460198</v>
      </c>
      <c r="CE38" s="89">
        <f t="shared" ref="CE38" si="180">CC38+CD38</f>
        <v>1104.2559990121485</v>
      </c>
      <c r="CF38" s="89">
        <f t="shared" si="26"/>
        <v>1689.8370361718401</v>
      </c>
      <c r="CG38" s="89">
        <f t="shared" si="27"/>
        <v>744.58976941049809</v>
      </c>
      <c r="CH38" s="89">
        <f t="shared" ref="CH38" si="181">CF38+CG38</f>
        <v>2434.4268055823381</v>
      </c>
      <c r="CI38" s="41">
        <f t="shared" ref="CI38" si="182">IF(Z38&gt;0,((BC38+PV($BY$2,$CB$2,-BF38,0,0))/Z38),0)</f>
        <v>2536.1487899692365</v>
      </c>
      <c r="CJ38" s="41">
        <f t="shared" ref="CJ38" si="183">IF(Y38&gt;0,((BD38+PV($BY$2,$CB$2,-BG38,0,0))/Y38),0)</f>
        <v>17893.259930464108</v>
      </c>
      <c r="CK38" s="41">
        <f t="shared" ref="CK38" si="184">IF(AE38&gt;0,((BC38+PV($BY$2,$CB$2,-BF38,0,0))/AE38),0)</f>
        <v>12997.762548592333</v>
      </c>
      <c r="CL38" s="41">
        <f t="shared" ref="CL38" si="185">IF(AD38&gt;0,((BD38+PV($BY$2,$CB$2,-BG38,0,0))/AD38),0)</f>
        <v>40259.834843544253</v>
      </c>
      <c r="CM38" s="346">
        <f t="shared" si="29"/>
        <v>183.96241910581125</v>
      </c>
      <c r="CN38" s="204">
        <f t="shared" si="30"/>
        <v>81.059020657104497</v>
      </c>
      <c r="CO38" s="204">
        <f t="shared" ref="CO38" si="186">CM38+CN38</f>
        <v>265.02143976291575</v>
      </c>
      <c r="CP38" s="204">
        <f t="shared" si="31"/>
        <v>405.56088868124169</v>
      </c>
      <c r="CQ38" s="204">
        <f t="shared" si="32"/>
        <v>178.70154465851959</v>
      </c>
      <c r="CR38" s="204">
        <f t="shared" ref="CR38" si="187">CP38+CQ38</f>
        <v>584.26243333976129</v>
      </c>
      <c r="CS38" s="204">
        <f t="shared" si="33"/>
        <v>766.51007960754669</v>
      </c>
      <c r="CT38" s="204">
        <f t="shared" si="34"/>
        <v>337.74591940460198</v>
      </c>
      <c r="CU38" s="204">
        <f t="shared" ref="CU38" si="188">CS38+CT38</f>
        <v>1104.2559990121485</v>
      </c>
      <c r="CV38" s="204">
        <f t="shared" si="35"/>
        <v>1689.8370361718401</v>
      </c>
      <c r="CW38" s="204">
        <f t="shared" si="36"/>
        <v>744.58976941049809</v>
      </c>
      <c r="CX38" s="204">
        <f t="shared" ref="CX38" si="189">CV38+CW38</f>
        <v>2434.4268055823381</v>
      </c>
      <c r="CY38" s="361" t="s">
        <v>118</v>
      </c>
      <c r="CZ38" s="360" t="s">
        <v>57</v>
      </c>
      <c r="DA38" s="360" t="s">
        <v>57</v>
      </c>
      <c r="DB38" s="360" t="s">
        <v>331</v>
      </c>
      <c r="DC38" s="360" t="s">
        <v>56</v>
      </c>
      <c r="DD38" s="358" t="s">
        <v>108</v>
      </c>
      <c r="DE38" s="358" t="s">
        <v>247</v>
      </c>
      <c r="DF38" s="360" t="s">
        <v>57</v>
      </c>
      <c r="DG38" s="360" t="s">
        <v>57</v>
      </c>
      <c r="DH38" s="360" t="s">
        <v>56</v>
      </c>
      <c r="DI38" s="360" t="s">
        <v>57</v>
      </c>
      <c r="DJ38" s="358" t="s">
        <v>360</v>
      </c>
      <c r="DK38" s="83" t="s">
        <v>361</v>
      </c>
      <c r="DL38" s="358" t="s">
        <v>350</v>
      </c>
      <c r="DM38" s="358" t="s">
        <v>360</v>
      </c>
      <c r="DN38" s="83" t="s">
        <v>361</v>
      </c>
      <c r="DO38" s="83" t="s">
        <v>835</v>
      </c>
      <c r="DP38" s="83"/>
      <c r="DQ38" s="527" t="s">
        <v>878</v>
      </c>
      <c r="DR38" s="531" t="s">
        <v>879</v>
      </c>
      <c r="DS38" s="358" t="s">
        <v>380</v>
      </c>
      <c r="DT38" s="105" t="s">
        <v>110</v>
      </c>
      <c r="DU38" s="28"/>
      <c r="DV38" s="28"/>
      <c r="DW38" s="28"/>
      <c r="DX38" s="28"/>
      <c r="DY38" s="28"/>
      <c r="DZ38" s="28"/>
      <c r="EA38" s="28"/>
      <c r="EB38" s="28"/>
    </row>
    <row r="39" spans="1:132" ht="165" customHeight="1" x14ac:dyDescent="0.2">
      <c r="A39" s="739"/>
      <c r="B39" s="13" t="s">
        <v>652</v>
      </c>
      <c r="C39" s="84"/>
      <c r="D39" s="235">
        <v>304</v>
      </c>
      <c r="E39" s="271" t="s">
        <v>802</v>
      </c>
      <c r="F39" s="272" t="s">
        <v>102</v>
      </c>
      <c r="G39" s="272" t="s">
        <v>103</v>
      </c>
      <c r="H39" s="276" t="s">
        <v>86</v>
      </c>
      <c r="I39" s="275" t="s">
        <v>464</v>
      </c>
      <c r="J39" s="507" t="s">
        <v>104</v>
      </c>
      <c r="K39" s="259" t="s">
        <v>653</v>
      </c>
      <c r="L39" s="272" t="s">
        <v>654</v>
      </c>
      <c r="M39" s="307">
        <v>52</v>
      </c>
      <c r="N39" s="302" t="s">
        <v>77</v>
      </c>
      <c r="O39" s="11" t="s">
        <v>77</v>
      </c>
      <c r="P39" s="303">
        <f>M39/$P$2</f>
        <v>0.32500000000000001</v>
      </c>
      <c r="Q39" s="589">
        <v>26.25</v>
      </c>
      <c r="R39" s="261">
        <f>$X$110-2</f>
        <v>4</v>
      </c>
      <c r="S39" s="590">
        <f>100*(1-40*(1-0.4)/$Q39)</f>
        <v>8.5714285714285747</v>
      </c>
      <c r="T39" s="590">
        <f>100*(1-40*(1-0.6)/$Q39)</f>
        <v>39.047619047619044</v>
      </c>
      <c r="U39" s="4">
        <v>25</v>
      </c>
      <c r="V39" s="4">
        <v>50</v>
      </c>
      <c r="W39" s="189">
        <f t="shared" ref="W39:W44" si="190">($Q$53-($Q$53*(($T$53+$S$53)/2)/100)-(Q39-(Q39*((T39+S39)/2)/100)))/($Q$53-($Q$53*(($T$53+$S$53)/2)/100))</f>
        <v>0.23809523809523808</v>
      </c>
      <c r="X39" s="51" t="s">
        <v>373</v>
      </c>
      <c r="Y39" s="145">
        <f t="shared" si="121"/>
        <v>0.35615970000000013</v>
      </c>
      <c r="Z39" s="145">
        <f t="shared" si="122"/>
        <v>1.6225052999999996</v>
      </c>
      <c r="AA39" s="145">
        <f t="shared" si="37"/>
        <v>0.16155403992000006</v>
      </c>
      <c r="AB39" s="145">
        <f t="shared" si="141"/>
        <v>0.73596840407999986</v>
      </c>
      <c r="AC39" s="145">
        <f t="shared" si="142"/>
        <v>0.44876122199999996</v>
      </c>
      <c r="AD39" s="145">
        <f t="shared" si="123"/>
        <v>0.1582932</v>
      </c>
      <c r="AE39" s="145">
        <f t="shared" si="124"/>
        <v>0.31658639999999999</v>
      </c>
      <c r="AF39" s="145">
        <f t="shared" si="143"/>
        <v>7.1801795520000003E-2</v>
      </c>
      <c r="AG39" s="145">
        <f t="shared" si="144"/>
        <v>0.14360359104000001</v>
      </c>
      <c r="AH39" s="76">
        <v>250</v>
      </c>
      <c r="AI39" s="76">
        <v>300</v>
      </c>
      <c r="AJ39" s="76">
        <f t="shared" si="48"/>
        <v>275</v>
      </c>
      <c r="AK39" s="76">
        <f t="shared" si="131"/>
        <v>250</v>
      </c>
      <c r="AL39" s="76">
        <f t="shared" si="132"/>
        <v>300</v>
      </c>
      <c r="AM39" s="76">
        <f t="shared" ref="AM39:AM46" si="191">AJ39*($AA$109/$AA$107)</f>
        <v>275</v>
      </c>
      <c r="AN39" s="104">
        <v>0.6</v>
      </c>
      <c r="AO39" s="76">
        <v>0</v>
      </c>
      <c r="AP39" s="76">
        <f t="shared" si="51"/>
        <v>350</v>
      </c>
      <c r="AQ39" s="76">
        <f t="shared" si="52"/>
        <v>420</v>
      </c>
      <c r="AR39" s="76">
        <f t="shared" si="53"/>
        <v>385</v>
      </c>
      <c r="AS39" s="89">
        <v>15</v>
      </c>
      <c r="AT39" s="89">
        <v>25</v>
      </c>
      <c r="AU39" s="89">
        <f t="shared" si="59"/>
        <v>20</v>
      </c>
      <c r="AV39" s="89">
        <f t="shared" si="133"/>
        <v>15</v>
      </c>
      <c r="AW39" s="89">
        <f t="shared" si="134"/>
        <v>25</v>
      </c>
      <c r="AX39" s="89">
        <f t="shared" ref="AX39:AX46" si="192">AU39*($AA$109/$AA$107)</f>
        <v>20</v>
      </c>
      <c r="AY39" s="326">
        <v>0.25</v>
      </c>
      <c r="AZ39" s="51">
        <v>-0.2</v>
      </c>
      <c r="BA39" s="51">
        <v>0.1</v>
      </c>
      <c r="BB39" s="327" t="s">
        <v>386</v>
      </c>
      <c r="BC39" s="76">
        <f t="shared" si="135"/>
        <v>280</v>
      </c>
      <c r="BD39" s="76">
        <f t="shared" si="136"/>
        <v>336</v>
      </c>
      <c r="BE39" s="76">
        <f t="shared" si="42"/>
        <v>308</v>
      </c>
      <c r="BF39" s="89">
        <f t="shared" si="137"/>
        <v>16.5</v>
      </c>
      <c r="BG39" s="89">
        <f t="shared" si="138"/>
        <v>27.500000000000004</v>
      </c>
      <c r="BH39" s="89">
        <f t="shared" si="7"/>
        <v>22</v>
      </c>
      <c r="BI39" s="4">
        <v>20</v>
      </c>
      <c r="BJ39" s="76">
        <f>BE39*0.75</f>
        <v>231</v>
      </c>
      <c r="BK39" s="76">
        <f t="shared" si="8"/>
        <v>231</v>
      </c>
      <c r="BL39" s="111">
        <f t="shared" si="43"/>
        <v>0</v>
      </c>
      <c r="BM39" s="4">
        <f t="shared" si="9"/>
        <v>19.786649999999998</v>
      </c>
      <c r="BN39" s="4">
        <f t="shared" si="57"/>
        <v>8.9752244399999999</v>
      </c>
      <c r="BO39" s="4">
        <f t="shared" si="10"/>
        <v>4.7487959999999996</v>
      </c>
      <c r="BP39" s="4">
        <f t="shared" si="58"/>
        <v>2.1540538655999999</v>
      </c>
      <c r="BQ39" s="324">
        <f t="shared" ref="BQ39:BR46" si="193">IF($Q39&lt;$W$122,BM39,(BM39-((BM39/$Q39)*($Q39-$W$122))))</f>
        <v>19.786649999999998</v>
      </c>
      <c r="BR39" s="324">
        <f t="shared" si="193"/>
        <v>8.9752244399999999</v>
      </c>
      <c r="BS39" s="324">
        <f t="shared" ref="BS39:BT46" si="194">IF($R39&lt;$X$122,BO39,(BO39-((BO39/$R39)*($R39-$X$122))))</f>
        <v>4.7487959999999996</v>
      </c>
      <c r="BT39" s="324">
        <f t="shared" si="194"/>
        <v>2.1540538655999999</v>
      </c>
      <c r="BU39" s="76" t="str">
        <f t="shared" si="15"/>
        <v>N/A</v>
      </c>
      <c r="BV39" s="111">
        <f t="shared" si="16"/>
        <v>104.10681412128677</v>
      </c>
      <c r="BW39" s="88">
        <f t="shared" si="17"/>
        <v>15.566050847414798</v>
      </c>
      <c r="BX39" s="89">
        <f t="shared" si="18"/>
        <v>13.856242847368287</v>
      </c>
      <c r="BY39" s="89">
        <f t="shared" si="19"/>
        <v>29.422293694783086</v>
      </c>
      <c r="BZ39" s="89">
        <f t="shared" si="20"/>
        <v>34.316690580720454</v>
      </c>
      <c r="CA39" s="89">
        <f t="shared" si="21"/>
        <v>30.547272591199924</v>
      </c>
      <c r="CB39" s="89">
        <f t="shared" si="22"/>
        <v>64.863963171920375</v>
      </c>
      <c r="CC39" s="89">
        <f t="shared" si="23"/>
        <v>64.858545197561668</v>
      </c>
      <c r="CD39" s="89">
        <f t="shared" si="24"/>
        <v>57.734345197367865</v>
      </c>
      <c r="CE39" s="89">
        <f t="shared" si="25"/>
        <v>122.59289039492953</v>
      </c>
      <c r="CF39" s="89">
        <f t="shared" si="26"/>
        <v>142.9862107530019</v>
      </c>
      <c r="CG39" s="89">
        <f t="shared" si="27"/>
        <v>127.28030246333303</v>
      </c>
      <c r="CH39" s="89">
        <f t="shared" si="28"/>
        <v>270.26651321633494</v>
      </c>
      <c r="CI39" s="41">
        <f t="shared" si="110"/>
        <v>299.30655428485187</v>
      </c>
      <c r="CJ39" s="41">
        <f t="shared" si="111"/>
        <v>1905.6361076782393</v>
      </c>
      <c r="CK39" s="41">
        <f t="shared" si="112"/>
        <v>1533.9460907098655</v>
      </c>
      <c r="CL39" s="41">
        <f t="shared" si="113"/>
        <v>4287.6812422760404</v>
      </c>
      <c r="CM39" s="346">
        <f t="shared" si="29"/>
        <v>15.566050847414798</v>
      </c>
      <c r="CN39" s="204">
        <f t="shared" si="30"/>
        <v>13.856242847368287</v>
      </c>
      <c r="CO39" s="204">
        <f t="shared" si="44"/>
        <v>29.422293694783086</v>
      </c>
      <c r="CP39" s="204">
        <f t="shared" si="31"/>
        <v>34.316690580720454</v>
      </c>
      <c r="CQ39" s="204">
        <f t="shared" si="32"/>
        <v>30.547272591199924</v>
      </c>
      <c r="CR39" s="204">
        <f t="shared" si="45"/>
        <v>64.863963171920375</v>
      </c>
      <c r="CS39" s="204">
        <f t="shared" si="33"/>
        <v>64.858545197561668</v>
      </c>
      <c r="CT39" s="204">
        <f t="shared" si="34"/>
        <v>57.734345197367865</v>
      </c>
      <c r="CU39" s="204">
        <f t="shared" si="46"/>
        <v>122.59289039492953</v>
      </c>
      <c r="CV39" s="204">
        <f t="shared" si="35"/>
        <v>142.9862107530019</v>
      </c>
      <c r="CW39" s="204">
        <f t="shared" si="36"/>
        <v>127.28030246333303</v>
      </c>
      <c r="CX39" s="204">
        <f t="shared" si="47"/>
        <v>270.26651321633494</v>
      </c>
      <c r="CY39" s="286" t="s">
        <v>118</v>
      </c>
      <c r="CZ39" s="285" t="s">
        <v>57</v>
      </c>
      <c r="DA39" s="285" t="s">
        <v>57</v>
      </c>
      <c r="DB39" s="285" t="s">
        <v>331</v>
      </c>
      <c r="DC39" s="285" t="s">
        <v>56</v>
      </c>
      <c r="DD39" s="271" t="s">
        <v>108</v>
      </c>
      <c r="DE39" s="271" t="s">
        <v>247</v>
      </c>
      <c r="DF39" s="285" t="s">
        <v>57</v>
      </c>
      <c r="DG39" s="285" t="s">
        <v>57</v>
      </c>
      <c r="DH39" s="285" t="s">
        <v>56</v>
      </c>
      <c r="DI39" s="285" t="s">
        <v>57</v>
      </c>
      <c r="DJ39" s="271" t="s">
        <v>360</v>
      </c>
      <c r="DK39" s="83" t="s">
        <v>361</v>
      </c>
      <c r="DL39" s="271" t="s">
        <v>350</v>
      </c>
      <c r="DM39" s="271" t="s">
        <v>360</v>
      </c>
      <c r="DN39" s="83" t="s">
        <v>361</v>
      </c>
      <c r="DO39" s="83" t="s">
        <v>835</v>
      </c>
      <c r="DP39" s="83"/>
      <c r="DQ39" s="527" t="s">
        <v>880</v>
      </c>
      <c r="DR39" s="531" t="s">
        <v>879</v>
      </c>
      <c r="DS39" s="271" t="s">
        <v>380</v>
      </c>
      <c r="DT39" s="105" t="s">
        <v>110</v>
      </c>
      <c r="DU39" s="28"/>
      <c r="DV39" s="28"/>
      <c r="DW39" s="28"/>
      <c r="DX39" s="28"/>
      <c r="DY39" s="28"/>
      <c r="DZ39" s="28"/>
      <c r="EA39" s="28"/>
      <c r="EB39" s="28"/>
    </row>
    <row r="40" spans="1:132" ht="258" customHeight="1" x14ac:dyDescent="0.2">
      <c r="A40" s="753" t="s">
        <v>111</v>
      </c>
      <c r="B40" s="14" t="s">
        <v>0</v>
      </c>
      <c r="C40" s="84"/>
      <c r="D40" s="235">
        <v>400</v>
      </c>
      <c r="E40" s="271" t="s">
        <v>803</v>
      </c>
      <c r="F40" s="272" t="s">
        <v>112</v>
      </c>
      <c r="G40" s="272" t="s">
        <v>113</v>
      </c>
      <c r="H40" s="276" t="s">
        <v>86</v>
      </c>
      <c r="I40" s="275" t="s">
        <v>465</v>
      </c>
      <c r="J40" s="507"/>
      <c r="K40" s="259" t="s">
        <v>611</v>
      </c>
      <c r="L40" s="272" t="s">
        <v>9</v>
      </c>
      <c r="M40" s="309">
        <f>N40*2027</f>
        <v>2027</v>
      </c>
      <c r="N40" s="301">
        <v>1</v>
      </c>
      <c r="O40" s="11" t="s">
        <v>77</v>
      </c>
      <c r="P40" s="303" t="s">
        <v>77</v>
      </c>
      <c r="Q40" s="101">
        <f>$Q$117</f>
        <v>1.52</v>
      </c>
      <c r="R40" s="99">
        <f>$R$117</f>
        <v>2</v>
      </c>
      <c r="S40" s="4">
        <v>25</v>
      </c>
      <c r="T40" s="4">
        <v>75</v>
      </c>
      <c r="U40" s="4">
        <v>3</v>
      </c>
      <c r="V40" s="4">
        <v>10</v>
      </c>
      <c r="W40" s="189">
        <f t="shared" si="190"/>
        <v>0.97104761904761894</v>
      </c>
      <c r="X40" s="51" t="s">
        <v>374</v>
      </c>
      <c r="Y40" s="145">
        <f t="shared" si="121"/>
        <v>2.344748466</v>
      </c>
      <c r="Z40" s="145">
        <f t="shared" si="122"/>
        <v>7.0342453980000021</v>
      </c>
      <c r="AA40" s="145">
        <f t="shared" si="37"/>
        <v>1.0635779041775999</v>
      </c>
      <c r="AB40" s="145">
        <f t="shared" si="141"/>
        <v>3.190733712532801</v>
      </c>
      <c r="AC40" s="145">
        <f t="shared" si="142"/>
        <v>2.1271558083552007</v>
      </c>
      <c r="AD40" s="145">
        <f t="shared" si="123"/>
        <v>0.37022344200000001</v>
      </c>
      <c r="AE40" s="145">
        <f t="shared" si="124"/>
        <v>1.2340781400000003</v>
      </c>
      <c r="AF40" s="145">
        <f t="shared" si="143"/>
        <v>0.16793335329120002</v>
      </c>
      <c r="AG40" s="145">
        <f t="shared" si="144"/>
        <v>0.55977784430400013</v>
      </c>
      <c r="AH40" s="76">
        <v>50</v>
      </c>
      <c r="AI40" s="76">
        <v>100</v>
      </c>
      <c r="AJ40" s="76">
        <f t="shared" si="48"/>
        <v>75</v>
      </c>
      <c r="AK40" s="76">
        <f t="shared" si="131"/>
        <v>50</v>
      </c>
      <c r="AL40" s="76">
        <f t="shared" si="132"/>
        <v>100</v>
      </c>
      <c r="AM40" s="76">
        <f t="shared" si="191"/>
        <v>75</v>
      </c>
      <c r="AN40" s="104" t="s">
        <v>132</v>
      </c>
      <c r="AO40" s="76">
        <v>0</v>
      </c>
      <c r="AP40" s="76">
        <f t="shared" si="51"/>
        <v>70</v>
      </c>
      <c r="AQ40" s="76">
        <f t="shared" si="52"/>
        <v>140</v>
      </c>
      <c r="AR40" s="76">
        <f t="shared" si="53"/>
        <v>105</v>
      </c>
      <c r="AS40" s="76">
        <v>50</v>
      </c>
      <c r="AT40" s="76">
        <v>100</v>
      </c>
      <c r="AU40" s="76">
        <f t="shared" si="59"/>
        <v>75</v>
      </c>
      <c r="AV40" s="76">
        <f t="shared" si="133"/>
        <v>50</v>
      </c>
      <c r="AW40" s="76">
        <f t="shared" si="134"/>
        <v>100</v>
      </c>
      <c r="AX40" s="76">
        <f t="shared" si="192"/>
        <v>75</v>
      </c>
      <c r="AY40" s="326">
        <v>0.5</v>
      </c>
      <c r="AZ40" s="51">
        <v>0</v>
      </c>
      <c r="BA40" s="51">
        <v>0.1</v>
      </c>
      <c r="BB40" s="327" t="s">
        <v>294</v>
      </c>
      <c r="BC40" s="76">
        <f t="shared" si="135"/>
        <v>70</v>
      </c>
      <c r="BD40" s="76">
        <f t="shared" si="136"/>
        <v>140</v>
      </c>
      <c r="BE40" s="76">
        <f t="shared" si="42"/>
        <v>105</v>
      </c>
      <c r="BF40" s="76">
        <f t="shared" si="137"/>
        <v>55.000000000000007</v>
      </c>
      <c r="BG40" s="76">
        <f t="shared" si="138"/>
        <v>110.00000000000001</v>
      </c>
      <c r="BH40" s="76">
        <f t="shared" si="7"/>
        <v>82.5</v>
      </c>
      <c r="BI40" s="4">
        <v>20</v>
      </c>
      <c r="BJ40" s="76">
        <f>BE40*0.1</f>
        <v>10.5</v>
      </c>
      <c r="BK40" s="76">
        <f t="shared" si="8"/>
        <v>10.5</v>
      </c>
      <c r="BL40" s="111">
        <f t="shared" si="43"/>
        <v>0</v>
      </c>
      <c r="BM40" s="4">
        <f t="shared" si="9"/>
        <v>93.789938640000017</v>
      </c>
      <c r="BN40" s="4">
        <f t="shared" si="57"/>
        <v>42.54311616710401</v>
      </c>
      <c r="BO40" s="4">
        <f t="shared" si="10"/>
        <v>16.043015820000001</v>
      </c>
      <c r="BP40" s="4">
        <f t="shared" si="58"/>
        <v>7.2771119759520007</v>
      </c>
      <c r="BQ40" s="324">
        <f t="shared" si="193"/>
        <v>93.789938640000017</v>
      </c>
      <c r="BR40" s="324">
        <f t="shared" si="193"/>
        <v>42.54311616710401</v>
      </c>
      <c r="BS40" s="324">
        <f t="shared" si="194"/>
        <v>16.043015820000001</v>
      </c>
      <c r="BT40" s="324">
        <f t="shared" si="194"/>
        <v>7.2771119759520007</v>
      </c>
      <c r="BU40" s="76" t="str">
        <f t="shared" si="15"/>
        <v>N/A</v>
      </c>
      <c r="BV40" s="111">
        <f t="shared" si="16"/>
        <v>42.745795082327838</v>
      </c>
      <c r="BW40" s="88">
        <f t="shared" si="17"/>
        <v>1.1195230695589671</v>
      </c>
      <c r="BX40" s="89">
        <f t="shared" si="18"/>
        <v>10.962075124133472</v>
      </c>
      <c r="BY40" s="89">
        <f t="shared" si="19"/>
        <v>12.081598193692439</v>
      </c>
      <c r="BZ40" s="89">
        <f t="shared" si="20"/>
        <v>2.4680843685162412</v>
      </c>
      <c r="CA40" s="89">
        <f t="shared" si="21"/>
        <v>24.166832284244865</v>
      </c>
      <c r="CB40" s="89">
        <f t="shared" si="22"/>
        <v>26.634916652761106</v>
      </c>
      <c r="CC40" s="89">
        <f t="shared" si="23"/>
        <v>6.5449040989601164</v>
      </c>
      <c r="CD40" s="89">
        <f t="shared" si="24"/>
        <v>64.0859776487803</v>
      </c>
      <c r="CE40" s="89">
        <f t="shared" si="25"/>
        <v>70.630881747740418</v>
      </c>
      <c r="CF40" s="89">
        <f t="shared" si="26"/>
        <v>14.428800923633414</v>
      </c>
      <c r="CG40" s="89">
        <f t="shared" si="27"/>
        <v>141.28301950789307</v>
      </c>
      <c r="CH40" s="89">
        <f t="shared" si="28"/>
        <v>155.71182043152649</v>
      </c>
      <c r="CI40" s="41">
        <f t="shared" si="110"/>
        <v>107.3919839439328</v>
      </c>
      <c r="CJ40" s="41">
        <f t="shared" si="111"/>
        <v>644.351903663597</v>
      </c>
      <c r="CK40" s="41">
        <f t="shared" si="112"/>
        <v>612.13430848041696</v>
      </c>
      <c r="CL40" s="41">
        <f t="shared" si="113"/>
        <v>4080.8953898694472</v>
      </c>
      <c r="CM40" s="346">
        <f t="shared" si="29"/>
        <v>1.1195230695589671</v>
      </c>
      <c r="CN40" s="204">
        <f t="shared" si="30"/>
        <v>10.962075124133472</v>
      </c>
      <c r="CO40" s="204">
        <f t="shared" si="44"/>
        <v>12.081598193692439</v>
      </c>
      <c r="CP40" s="204">
        <f t="shared" si="31"/>
        <v>2.4680843685162412</v>
      </c>
      <c r="CQ40" s="204">
        <f t="shared" si="32"/>
        <v>24.166832284244865</v>
      </c>
      <c r="CR40" s="204">
        <f t="shared" si="45"/>
        <v>26.634916652761106</v>
      </c>
      <c r="CS40" s="204">
        <f t="shared" si="33"/>
        <v>6.5449040989601164</v>
      </c>
      <c r="CT40" s="204">
        <f t="shared" si="34"/>
        <v>64.0859776487803</v>
      </c>
      <c r="CU40" s="204">
        <f t="shared" si="46"/>
        <v>70.630881747740418</v>
      </c>
      <c r="CV40" s="204">
        <f t="shared" si="35"/>
        <v>14.428800923633414</v>
      </c>
      <c r="CW40" s="204">
        <f t="shared" si="36"/>
        <v>141.28301950789307</v>
      </c>
      <c r="CX40" s="204">
        <f t="shared" si="47"/>
        <v>155.71182043152649</v>
      </c>
      <c r="CY40" s="286" t="s">
        <v>118</v>
      </c>
      <c r="CZ40" s="285" t="s">
        <v>57</v>
      </c>
      <c r="DA40" s="285" t="s">
        <v>57</v>
      </c>
      <c r="DB40" s="285" t="s">
        <v>333</v>
      </c>
      <c r="DC40" s="285" t="s">
        <v>56</v>
      </c>
      <c r="DD40" s="271" t="s">
        <v>248</v>
      </c>
      <c r="DE40" s="271" t="s">
        <v>249</v>
      </c>
      <c r="DF40" s="285" t="s">
        <v>56</v>
      </c>
      <c r="DG40" s="285" t="s">
        <v>57</v>
      </c>
      <c r="DH40" s="285" t="s">
        <v>57</v>
      </c>
      <c r="DI40" s="285" t="s">
        <v>57</v>
      </c>
      <c r="DJ40" s="271" t="s">
        <v>360</v>
      </c>
      <c r="DK40" s="83" t="s">
        <v>361</v>
      </c>
      <c r="DL40" s="271" t="s">
        <v>350</v>
      </c>
      <c r="DM40" s="271" t="s">
        <v>360</v>
      </c>
      <c r="DN40" s="83" t="s">
        <v>361</v>
      </c>
      <c r="DO40" s="83" t="s">
        <v>645</v>
      </c>
      <c r="DP40" s="83"/>
      <c r="DQ40" s="527" t="s">
        <v>881</v>
      </c>
      <c r="DR40" s="531" t="s">
        <v>882</v>
      </c>
      <c r="DS40" s="271" t="s">
        <v>240</v>
      </c>
      <c r="DT40" s="106"/>
      <c r="DU40" s="28"/>
      <c r="DV40" s="28"/>
      <c r="DW40" s="28"/>
      <c r="DX40" s="28"/>
      <c r="DY40" s="28"/>
      <c r="DZ40" s="28"/>
      <c r="EA40" s="28"/>
      <c r="EB40" s="28"/>
    </row>
    <row r="41" spans="1:132" ht="409.5" customHeight="1" x14ac:dyDescent="0.2">
      <c r="A41" s="753"/>
      <c r="B41" s="14" t="s">
        <v>1</v>
      </c>
      <c r="C41" s="96"/>
      <c r="D41" s="278">
        <v>401</v>
      </c>
      <c r="E41" s="271" t="s">
        <v>825</v>
      </c>
      <c r="F41" s="272" t="s">
        <v>14</v>
      </c>
      <c r="G41" s="272" t="s">
        <v>113</v>
      </c>
      <c r="H41" s="272" t="s">
        <v>92</v>
      </c>
      <c r="I41" s="275" t="s">
        <v>778</v>
      </c>
      <c r="J41" s="271" t="s">
        <v>114</v>
      </c>
      <c r="K41" s="259" t="s">
        <v>597</v>
      </c>
      <c r="L41" s="272" t="s">
        <v>22</v>
      </c>
      <c r="M41" s="307">
        <v>10820</v>
      </c>
      <c r="N41" s="302" t="s">
        <v>77</v>
      </c>
      <c r="O41" s="11" t="s">
        <v>77</v>
      </c>
      <c r="P41" s="303" t="s">
        <v>77</v>
      </c>
      <c r="Q41" s="99">
        <f>$T$117</f>
        <v>2</v>
      </c>
      <c r="R41" s="99">
        <f>$U$117</f>
        <v>0.3</v>
      </c>
      <c r="S41" s="4">
        <v>25</v>
      </c>
      <c r="T41" s="4">
        <v>75</v>
      </c>
      <c r="U41" s="4">
        <v>1</v>
      </c>
      <c r="V41" s="4">
        <v>8</v>
      </c>
      <c r="W41" s="189">
        <f t="shared" si="190"/>
        <v>0.96190476190476193</v>
      </c>
      <c r="X41" s="51" t="s">
        <v>374</v>
      </c>
      <c r="Y41" s="145">
        <f t="shared" si="121"/>
        <v>16.468581</v>
      </c>
      <c r="Z41" s="145">
        <f t="shared" si="122"/>
        <v>49.405742999999994</v>
      </c>
      <c r="AA41" s="145">
        <f t="shared" si="37"/>
        <v>7.4701483415999999</v>
      </c>
      <c r="AB41" s="145">
        <f t="shared" si="141"/>
        <v>22.410445024799998</v>
      </c>
      <c r="AC41" s="145">
        <f t="shared" si="142"/>
        <v>14.9402966832</v>
      </c>
      <c r="AD41" s="145">
        <f t="shared" si="123"/>
        <v>9.881148599999999E-2</v>
      </c>
      <c r="AE41" s="145">
        <f t="shared" si="124"/>
        <v>0.79049188799999992</v>
      </c>
      <c r="AF41" s="145">
        <f t="shared" si="143"/>
        <v>4.4820890049599993E-2</v>
      </c>
      <c r="AG41" s="145">
        <f t="shared" si="144"/>
        <v>0.35856712039679994</v>
      </c>
      <c r="AH41" s="76">
        <v>54000</v>
      </c>
      <c r="AI41" s="76">
        <v>100000</v>
      </c>
      <c r="AJ41" s="76">
        <f t="shared" si="48"/>
        <v>77000</v>
      </c>
      <c r="AK41" s="76">
        <f t="shared" si="131"/>
        <v>54000</v>
      </c>
      <c r="AL41" s="76">
        <f t="shared" si="132"/>
        <v>100000</v>
      </c>
      <c r="AM41" s="76">
        <f t="shared" si="191"/>
        <v>77000</v>
      </c>
      <c r="AN41" s="104" t="s">
        <v>132</v>
      </c>
      <c r="AO41" s="76">
        <v>0</v>
      </c>
      <c r="AP41" s="76">
        <f t="shared" si="51"/>
        <v>75600</v>
      </c>
      <c r="AQ41" s="76">
        <f t="shared" si="52"/>
        <v>140000</v>
      </c>
      <c r="AR41" s="76">
        <f t="shared" si="53"/>
        <v>107800</v>
      </c>
      <c r="AS41" s="76">
        <v>3400</v>
      </c>
      <c r="AT41" s="76">
        <v>8200</v>
      </c>
      <c r="AU41" s="76">
        <f t="shared" si="59"/>
        <v>5800</v>
      </c>
      <c r="AV41" s="76">
        <f t="shared" si="133"/>
        <v>3400</v>
      </c>
      <c r="AW41" s="76">
        <f t="shared" si="134"/>
        <v>8200</v>
      </c>
      <c r="AX41" s="76">
        <f t="shared" si="192"/>
        <v>5800</v>
      </c>
      <c r="AY41" s="326">
        <v>0.75</v>
      </c>
      <c r="AZ41" s="51">
        <v>0</v>
      </c>
      <c r="BA41" s="51">
        <v>0.1</v>
      </c>
      <c r="BB41" s="327" t="s">
        <v>294</v>
      </c>
      <c r="BC41" s="76">
        <f t="shared" si="135"/>
        <v>75600</v>
      </c>
      <c r="BD41" s="76">
        <f t="shared" si="136"/>
        <v>140000</v>
      </c>
      <c r="BE41" s="76">
        <f t="shared" si="42"/>
        <v>107800</v>
      </c>
      <c r="BF41" s="76">
        <f t="shared" si="137"/>
        <v>3740.0000000000005</v>
      </c>
      <c r="BG41" s="76">
        <f t="shared" si="138"/>
        <v>9020</v>
      </c>
      <c r="BH41" s="76">
        <f t="shared" si="7"/>
        <v>6380.0000000000009</v>
      </c>
      <c r="BI41" s="4">
        <v>20</v>
      </c>
      <c r="BJ41" s="76">
        <f>BE41*0.5</f>
        <v>53900</v>
      </c>
      <c r="BK41" s="76">
        <f t="shared" si="8"/>
        <v>53900</v>
      </c>
      <c r="BL41" s="111">
        <f t="shared" si="43"/>
        <v>0</v>
      </c>
      <c r="BM41" s="4">
        <f t="shared" si="9"/>
        <v>658.74324000000001</v>
      </c>
      <c r="BN41" s="4">
        <f t="shared" si="57"/>
        <v>298.80593366400001</v>
      </c>
      <c r="BO41" s="4">
        <f t="shared" si="10"/>
        <v>8.8930337399999999</v>
      </c>
      <c r="BP41" s="4">
        <f t="shared" si="58"/>
        <v>4.033880104464</v>
      </c>
      <c r="BQ41" s="324">
        <f t="shared" si="193"/>
        <v>658.74324000000001</v>
      </c>
      <c r="BR41" s="324">
        <f t="shared" si="193"/>
        <v>298.80593366400001</v>
      </c>
      <c r="BS41" s="324">
        <f t="shared" si="194"/>
        <v>8.8930337399999999</v>
      </c>
      <c r="BT41" s="324">
        <f t="shared" si="194"/>
        <v>4.033880104464</v>
      </c>
      <c r="BU41" s="76" t="str">
        <f t="shared" si="15"/>
        <v>N/A</v>
      </c>
      <c r="BV41" s="111">
        <f t="shared" si="16"/>
        <v>1006.1169273941656</v>
      </c>
      <c r="BW41" s="88">
        <f t="shared" si="17"/>
        <v>163.64494305854279</v>
      </c>
      <c r="BX41" s="89">
        <f t="shared" si="18"/>
        <v>120.69786398932173</v>
      </c>
      <c r="BY41" s="89">
        <f t="shared" si="19"/>
        <v>284.34280704786454</v>
      </c>
      <c r="BZ41" s="89">
        <f t="shared" si="20"/>
        <v>360.76927482042066</v>
      </c>
      <c r="CA41" s="89">
        <f t="shared" si="21"/>
        <v>266.08876540855761</v>
      </c>
      <c r="CB41" s="89">
        <f t="shared" si="22"/>
        <v>626.85804022897833</v>
      </c>
      <c r="CC41" s="89">
        <f t="shared" si="23"/>
        <v>12121.847633966134</v>
      </c>
      <c r="CD41" s="89">
        <f t="shared" si="24"/>
        <v>8940.5825177275365</v>
      </c>
      <c r="CE41" s="89">
        <f t="shared" si="25"/>
        <v>21062.430151693668</v>
      </c>
      <c r="CF41" s="89">
        <f t="shared" si="26"/>
        <v>26723.649986697827</v>
      </c>
      <c r="CG41" s="89">
        <f t="shared" si="27"/>
        <v>19710.278919152417</v>
      </c>
      <c r="CH41" s="89">
        <f t="shared" si="28"/>
        <v>46433.928905850247</v>
      </c>
      <c r="CI41" s="41">
        <f t="shared" si="110"/>
        <v>2473.5720841421121</v>
      </c>
      <c r="CJ41" s="41">
        <f t="shared" si="111"/>
        <v>15326.708311402826</v>
      </c>
      <c r="CK41" s="41">
        <f t="shared" si="112"/>
        <v>154598.25525888201</v>
      </c>
      <c r="CL41" s="41">
        <f t="shared" si="113"/>
        <v>2554451.3852338046</v>
      </c>
      <c r="CM41" s="346">
        <f t="shared" si="29"/>
        <v>163.64494305854279</v>
      </c>
      <c r="CN41" s="204">
        <f t="shared" si="30"/>
        <v>120.69786398932173</v>
      </c>
      <c r="CO41" s="204">
        <f t="shared" si="44"/>
        <v>284.34280704786454</v>
      </c>
      <c r="CP41" s="204">
        <f t="shared" si="31"/>
        <v>360.76927482042066</v>
      </c>
      <c r="CQ41" s="204">
        <f t="shared" si="32"/>
        <v>266.08876540855761</v>
      </c>
      <c r="CR41" s="204">
        <f t="shared" si="45"/>
        <v>626.85804022897833</v>
      </c>
      <c r="CS41" s="204">
        <f t="shared" si="33"/>
        <v>12121.847633966134</v>
      </c>
      <c r="CT41" s="204">
        <f t="shared" si="34"/>
        <v>8940.5825177275365</v>
      </c>
      <c r="CU41" s="204">
        <f t="shared" si="46"/>
        <v>21062.430151693668</v>
      </c>
      <c r="CV41" s="204">
        <f t="shared" si="35"/>
        <v>26723.649986697827</v>
      </c>
      <c r="CW41" s="204">
        <f t="shared" si="36"/>
        <v>19710.278919152417</v>
      </c>
      <c r="CX41" s="204">
        <f t="shared" si="47"/>
        <v>46433.928905850247</v>
      </c>
      <c r="CY41" s="286" t="s">
        <v>118</v>
      </c>
      <c r="CZ41" s="285" t="s">
        <v>57</v>
      </c>
      <c r="DA41" s="285" t="s">
        <v>57</v>
      </c>
      <c r="DB41" s="285" t="s">
        <v>333</v>
      </c>
      <c r="DC41" s="285" t="s">
        <v>57</v>
      </c>
      <c r="DD41" s="271" t="s">
        <v>115</v>
      </c>
      <c r="DE41" s="271" t="s">
        <v>116</v>
      </c>
      <c r="DF41" s="285" t="s">
        <v>56</v>
      </c>
      <c r="DG41" s="285" t="s">
        <v>56</v>
      </c>
      <c r="DH41" s="285" t="s">
        <v>57</v>
      </c>
      <c r="DI41" s="285" t="s">
        <v>56</v>
      </c>
      <c r="DJ41" s="271" t="s">
        <v>360</v>
      </c>
      <c r="DK41" s="83" t="s">
        <v>361</v>
      </c>
      <c r="DL41" s="271" t="s">
        <v>350</v>
      </c>
      <c r="DM41" s="271" t="s">
        <v>360</v>
      </c>
      <c r="DN41" s="83" t="s">
        <v>361</v>
      </c>
      <c r="DO41" s="83" t="s">
        <v>645</v>
      </c>
      <c r="DP41" s="83"/>
      <c r="DQ41" s="527" t="s">
        <v>1</v>
      </c>
      <c r="DR41" s="531" t="s">
        <v>883</v>
      </c>
      <c r="DS41" s="271" t="s">
        <v>436</v>
      </c>
      <c r="DT41" s="106"/>
      <c r="DU41" s="28"/>
      <c r="DV41" s="28"/>
      <c r="DW41" s="28"/>
      <c r="DX41" s="28"/>
      <c r="DY41" s="28"/>
      <c r="DZ41" s="28"/>
      <c r="EA41" s="28"/>
      <c r="EB41" s="28"/>
    </row>
    <row r="42" spans="1:132" ht="191.25" customHeight="1" x14ac:dyDescent="0.2">
      <c r="A42" s="753"/>
      <c r="B42" s="14" t="s">
        <v>23</v>
      </c>
      <c r="C42" s="85"/>
      <c r="D42" s="280">
        <v>402</v>
      </c>
      <c r="E42" s="271" t="s">
        <v>804</v>
      </c>
      <c r="F42" s="272" t="s">
        <v>117</v>
      </c>
      <c r="G42" s="272" t="s">
        <v>89</v>
      </c>
      <c r="H42" s="276" t="s">
        <v>86</v>
      </c>
      <c r="I42" s="275" t="s">
        <v>465</v>
      </c>
      <c r="J42" s="271" t="s">
        <v>118</v>
      </c>
      <c r="K42" s="259" t="s">
        <v>598</v>
      </c>
      <c r="L42" s="272" t="s">
        <v>5</v>
      </c>
      <c r="M42" s="307">
        <v>160</v>
      </c>
      <c r="N42" s="302" t="s">
        <v>77</v>
      </c>
      <c r="O42" s="11" t="s">
        <v>77</v>
      </c>
      <c r="P42" s="303">
        <f>M42/$P$2</f>
        <v>1</v>
      </c>
      <c r="Q42" s="411">
        <v>26.25</v>
      </c>
      <c r="R42" s="139">
        <f>$R$120</f>
        <v>8</v>
      </c>
      <c r="S42" s="412">
        <f>100*(1-40*(1-0.62)/$Q42)</f>
        <v>42.095238095238095</v>
      </c>
      <c r="T42" s="412">
        <f>100*(1-40*(1-0.9)/$Q42)</f>
        <v>84.761904761904773</v>
      </c>
      <c r="U42" s="4">
        <v>75</v>
      </c>
      <c r="V42" s="4">
        <v>90</v>
      </c>
      <c r="W42" s="189">
        <f t="shared" si="190"/>
        <v>0.63428571428571423</v>
      </c>
      <c r="X42" s="51" t="s">
        <v>374</v>
      </c>
      <c r="Y42" s="145">
        <f t="shared" si="121"/>
        <v>5.381968800000001</v>
      </c>
      <c r="Z42" s="145">
        <f t="shared" si="122"/>
        <v>10.836996000000003</v>
      </c>
      <c r="AA42" s="145">
        <f t="shared" si="37"/>
        <v>2.4412610476800003</v>
      </c>
      <c r="AB42" s="145">
        <f t="shared" si="141"/>
        <v>4.9156613856000009</v>
      </c>
      <c r="AC42" s="145">
        <f t="shared" si="142"/>
        <v>3.6784612166400006</v>
      </c>
      <c r="AD42" s="145">
        <f t="shared" si="123"/>
        <v>2.922336</v>
      </c>
      <c r="AE42" s="145">
        <f t="shared" si="124"/>
        <v>3.5068032000000002</v>
      </c>
      <c r="AF42" s="145">
        <f t="shared" si="143"/>
        <v>1.3255716096000001</v>
      </c>
      <c r="AG42" s="145">
        <f t="shared" si="144"/>
        <v>1.5906859315200002</v>
      </c>
      <c r="AH42" s="76">
        <v>0</v>
      </c>
      <c r="AI42" s="76">
        <v>0</v>
      </c>
      <c r="AJ42" s="76">
        <f t="shared" si="48"/>
        <v>0</v>
      </c>
      <c r="AK42" s="76">
        <f t="shared" si="131"/>
        <v>0</v>
      </c>
      <c r="AL42" s="76">
        <f t="shared" si="132"/>
        <v>0</v>
      </c>
      <c r="AM42" s="76">
        <f t="shared" si="191"/>
        <v>0</v>
      </c>
      <c r="AN42" s="104">
        <v>0.5</v>
      </c>
      <c r="AO42" s="76">
        <v>0</v>
      </c>
      <c r="AP42" s="76">
        <f t="shared" si="51"/>
        <v>0</v>
      </c>
      <c r="AQ42" s="76">
        <f t="shared" si="52"/>
        <v>0</v>
      </c>
      <c r="AR42" s="76">
        <f t="shared" si="53"/>
        <v>0</v>
      </c>
      <c r="AS42" s="76">
        <v>0</v>
      </c>
      <c r="AT42" s="76">
        <v>0</v>
      </c>
      <c r="AU42" s="76">
        <f t="shared" si="59"/>
        <v>0</v>
      </c>
      <c r="AV42" s="76">
        <f t="shared" si="133"/>
        <v>0</v>
      </c>
      <c r="AW42" s="76">
        <f t="shared" si="134"/>
        <v>0</v>
      </c>
      <c r="AX42" s="76">
        <f t="shared" si="192"/>
        <v>0</v>
      </c>
      <c r="AY42" s="326" t="s">
        <v>132</v>
      </c>
      <c r="AZ42" s="51">
        <v>0.2</v>
      </c>
      <c r="BA42" s="51">
        <v>0</v>
      </c>
      <c r="BB42" s="327" t="s">
        <v>295</v>
      </c>
      <c r="BC42" s="76">
        <f t="shared" si="135"/>
        <v>0</v>
      </c>
      <c r="BD42" s="76">
        <f t="shared" si="136"/>
        <v>0</v>
      </c>
      <c r="BE42" s="76">
        <f t="shared" si="42"/>
        <v>0</v>
      </c>
      <c r="BF42" s="76">
        <f t="shared" si="137"/>
        <v>0</v>
      </c>
      <c r="BG42" s="76">
        <f t="shared" si="138"/>
        <v>0</v>
      </c>
      <c r="BH42" s="76">
        <f t="shared" si="7"/>
        <v>0</v>
      </c>
      <c r="BI42" s="4">
        <v>20</v>
      </c>
      <c r="BJ42" s="76">
        <v>0</v>
      </c>
      <c r="BK42" s="76">
        <f t="shared" si="8"/>
        <v>0</v>
      </c>
      <c r="BL42" s="111">
        <f t="shared" si="43"/>
        <v>0</v>
      </c>
      <c r="BM42" s="4">
        <f t="shared" si="9"/>
        <v>162.18964800000003</v>
      </c>
      <c r="BN42" s="4">
        <f t="shared" si="57"/>
        <v>73.569224332800019</v>
      </c>
      <c r="BO42" s="4">
        <f t="shared" si="10"/>
        <v>64.291392000000002</v>
      </c>
      <c r="BP42" s="4">
        <f t="shared" si="58"/>
        <v>29.162575411200002</v>
      </c>
      <c r="BQ42" s="324">
        <f t="shared" si="193"/>
        <v>162.18964800000003</v>
      </c>
      <c r="BR42" s="324">
        <f t="shared" si="193"/>
        <v>73.569224332800019</v>
      </c>
      <c r="BS42" s="324">
        <f t="shared" si="194"/>
        <v>48.218544000000001</v>
      </c>
      <c r="BT42" s="324">
        <f t="shared" si="194"/>
        <v>21.8719315584</v>
      </c>
      <c r="BU42" s="76" t="str">
        <f t="shared" si="15"/>
        <v>N/A</v>
      </c>
      <c r="BV42" s="111">
        <f t="shared" si="16"/>
        <v>0</v>
      </c>
      <c r="BW42" s="88">
        <f t="shared" si="17"/>
        <v>0</v>
      </c>
      <c r="BX42" s="89">
        <f t="shared" si="18"/>
        <v>0</v>
      </c>
      <c r="BY42" s="89">
        <f t="shared" si="19"/>
        <v>0</v>
      </c>
      <c r="BZ42" s="89">
        <f t="shared" si="20"/>
        <v>0</v>
      </c>
      <c r="CA42" s="89">
        <f t="shared" si="21"/>
        <v>0</v>
      </c>
      <c r="CB42" s="89">
        <f t="shared" si="22"/>
        <v>0</v>
      </c>
      <c r="CC42" s="89">
        <f t="shared" si="23"/>
        <v>0</v>
      </c>
      <c r="CD42" s="89">
        <f t="shared" si="24"/>
        <v>0</v>
      </c>
      <c r="CE42" s="89">
        <f t="shared" si="25"/>
        <v>0</v>
      </c>
      <c r="CF42" s="89">
        <f t="shared" si="26"/>
        <v>0</v>
      </c>
      <c r="CG42" s="89">
        <f t="shared" si="27"/>
        <v>0</v>
      </c>
      <c r="CH42" s="89">
        <f t="shared" si="28"/>
        <v>0</v>
      </c>
      <c r="CI42" s="41">
        <f t="shared" si="110"/>
        <v>0</v>
      </c>
      <c r="CJ42" s="41">
        <f t="shared" si="111"/>
        <v>0</v>
      </c>
      <c r="CK42" s="41">
        <f t="shared" si="112"/>
        <v>0</v>
      </c>
      <c r="CL42" s="41">
        <f t="shared" si="113"/>
        <v>0</v>
      </c>
      <c r="CM42" s="346">
        <f t="shared" si="29"/>
        <v>0</v>
      </c>
      <c r="CN42" s="204">
        <f t="shared" si="30"/>
        <v>0</v>
      </c>
      <c r="CO42" s="204">
        <f t="shared" si="44"/>
        <v>0</v>
      </c>
      <c r="CP42" s="204">
        <f t="shared" si="31"/>
        <v>0</v>
      </c>
      <c r="CQ42" s="204">
        <f t="shared" si="32"/>
        <v>0</v>
      </c>
      <c r="CR42" s="204">
        <f t="shared" si="45"/>
        <v>0</v>
      </c>
      <c r="CS42" s="204">
        <f t="shared" si="33"/>
        <v>0</v>
      </c>
      <c r="CT42" s="204">
        <f t="shared" si="34"/>
        <v>0</v>
      </c>
      <c r="CU42" s="204">
        <f t="shared" si="46"/>
        <v>0</v>
      </c>
      <c r="CV42" s="204">
        <f t="shared" si="35"/>
        <v>0</v>
      </c>
      <c r="CW42" s="204">
        <f t="shared" si="36"/>
        <v>0</v>
      </c>
      <c r="CX42" s="204">
        <f t="shared" si="47"/>
        <v>0</v>
      </c>
      <c r="CY42" s="286" t="s">
        <v>307</v>
      </c>
      <c r="CZ42" s="285" t="s">
        <v>56</v>
      </c>
      <c r="DA42" s="285" t="s">
        <v>57</v>
      </c>
      <c r="DB42" s="285" t="s">
        <v>331</v>
      </c>
      <c r="DC42" s="285" t="s">
        <v>241</v>
      </c>
      <c r="DD42" s="271" t="s">
        <v>119</v>
      </c>
      <c r="DE42" s="271" t="s">
        <v>120</v>
      </c>
      <c r="DF42" s="285" t="s">
        <v>56</v>
      </c>
      <c r="DG42" s="285" t="s">
        <v>56</v>
      </c>
      <c r="DH42" s="285" t="s">
        <v>56</v>
      </c>
      <c r="DI42" s="285" t="s">
        <v>56</v>
      </c>
      <c r="DJ42" s="272" t="s">
        <v>77</v>
      </c>
      <c r="DK42" s="272" t="s">
        <v>77</v>
      </c>
      <c r="DL42" s="272" t="s">
        <v>77</v>
      </c>
      <c r="DM42" s="272" t="s">
        <v>77</v>
      </c>
      <c r="DN42" s="272" t="s">
        <v>77</v>
      </c>
      <c r="DO42" s="520" t="s">
        <v>645</v>
      </c>
      <c r="DP42" s="520"/>
      <c r="DQ42" s="527" t="s">
        <v>884</v>
      </c>
      <c r="DR42" s="531" t="s">
        <v>121</v>
      </c>
      <c r="DS42" s="271" t="s">
        <v>122</v>
      </c>
      <c r="DT42" s="106"/>
      <c r="DU42" s="28"/>
      <c r="DV42" s="28"/>
      <c r="DW42" s="28"/>
      <c r="DX42" s="28"/>
      <c r="DY42" s="28"/>
      <c r="DZ42" s="28"/>
      <c r="EA42" s="28"/>
      <c r="EB42" s="28"/>
    </row>
    <row r="43" spans="1:132" ht="306" customHeight="1" x14ac:dyDescent="0.2">
      <c r="A43" s="753"/>
      <c r="B43" s="14" t="s">
        <v>123</v>
      </c>
      <c r="C43" s="84"/>
      <c r="D43" s="235">
        <v>403</v>
      </c>
      <c r="E43" s="271" t="s">
        <v>805</v>
      </c>
      <c r="F43" s="272" t="s">
        <v>117</v>
      </c>
      <c r="G43" s="272" t="s">
        <v>89</v>
      </c>
      <c r="H43" s="276" t="s">
        <v>86</v>
      </c>
      <c r="I43" s="275" t="s">
        <v>465</v>
      </c>
      <c r="J43" s="271" t="s">
        <v>118</v>
      </c>
      <c r="K43" s="259" t="s">
        <v>599</v>
      </c>
      <c r="L43" s="272" t="s">
        <v>5</v>
      </c>
      <c r="M43" s="307">
        <v>160</v>
      </c>
      <c r="N43" s="302" t="s">
        <v>77</v>
      </c>
      <c r="O43" s="11" t="s">
        <v>77</v>
      </c>
      <c r="P43" s="303">
        <f>M43/$P$2</f>
        <v>1</v>
      </c>
      <c r="Q43" s="589">
        <v>26.25</v>
      </c>
      <c r="R43" s="139">
        <f>$R$120</f>
        <v>8</v>
      </c>
      <c r="S43" s="4">
        <v>100</v>
      </c>
      <c r="T43" s="4">
        <v>100</v>
      </c>
      <c r="U43" s="4">
        <v>100</v>
      </c>
      <c r="V43" s="4">
        <v>100</v>
      </c>
      <c r="W43" s="189">
        <f t="shared" si="190"/>
        <v>1</v>
      </c>
      <c r="X43" s="51" t="s">
        <v>374</v>
      </c>
      <c r="Y43" s="145">
        <f t="shared" si="121"/>
        <v>12.785220000000001</v>
      </c>
      <c r="Z43" s="145">
        <f t="shared" si="122"/>
        <v>12.785220000000001</v>
      </c>
      <c r="AA43" s="145">
        <f t="shared" si="37"/>
        <v>5.7993757920000002</v>
      </c>
      <c r="AB43" s="145">
        <f t="shared" si="141"/>
        <v>5.7993757920000002</v>
      </c>
      <c r="AC43" s="145">
        <f t="shared" si="142"/>
        <v>5.7993757920000002</v>
      </c>
      <c r="AD43" s="145">
        <f t="shared" si="123"/>
        <v>3.8964480000000004</v>
      </c>
      <c r="AE43" s="145">
        <f t="shared" si="124"/>
        <v>3.8964480000000004</v>
      </c>
      <c r="AF43" s="145">
        <f t="shared" si="143"/>
        <v>1.7674288128000002</v>
      </c>
      <c r="AG43" s="145">
        <f t="shared" si="144"/>
        <v>1.7674288128000002</v>
      </c>
      <c r="AH43" s="76">
        <v>0</v>
      </c>
      <c r="AI43" s="76">
        <v>0</v>
      </c>
      <c r="AJ43" s="76">
        <f t="shared" si="48"/>
        <v>0</v>
      </c>
      <c r="AK43" s="76">
        <f t="shared" si="131"/>
        <v>0</v>
      </c>
      <c r="AL43" s="76">
        <f t="shared" si="132"/>
        <v>0</v>
      </c>
      <c r="AM43" s="76">
        <f t="shared" si="191"/>
        <v>0</v>
      </c>
      <c r="AN43" s="104">
        <v>0</v>
      </c>
      <c r="AO43" s="76">
        <v>0</v>
      </c>
      <c r="AP43" s="76">
        <f t="shared" si="51"/>
        <v>0</v>
      </c>
      <c r="AQ43" s="76">
        <f t="shared" si="52"/>
        <v>0</v>
      </c>
      <c r="AR43" s="76">
        <f t="shared" si="53"/>
        <v>0</v>
      </c>
      <c r="AS43" s="76">
        <v>0</v>
      </c>
      <c r="AT43" s="76">
        <v>0</v>
      </c>
      <c r="AU43" s="76">
        <f t="shared" si="59"/>
        <v>0</v>
      </c>
      <c r="AV43" s="76">
        <f t="shared" si="133"/>
        <v>0</v>
      </c>
      <c r="AW43" s="76">
        <f t="shared" si="134"/>
        <v>0</v>
      </c>
      <c r="AX43" s="76">
        <f t="shared" si="192"/>
        <v>0</v>
      </c>
      <c r="AY43" s="326" t="s">
        <v>132</v>
      </c>
      <c r="AZ43" s="51">
        <v>0.2</v>
      </c>
      <c r="BA43" s="51">
        <v>0</v>
      </c>
      <c r="BB43" s="327" t="s">
        <v>295</v>
      </c>
      <c r="BC43" s="76">
        <f t="shared" si="135"/>
        <v>0</v>
      </c>
      <c r="BD43" s="76">
        <f t="shared" si="136"/>
        <v>0</v>
      </c>
      <c r="BE43" s="76">
        <f t="shared" si="42"/>
        <v>0</v>
      </c>
      <c r="BF43" s="76">
        <f t="shared" si="137"/>
        <v>0</v>
      </c>
      <c r="BG43" s="76">
        <f t="shared" si="138"/>
        <v>0</v>
      </c>
      <c r="BH43" s="76">
        <f t="shared" si="7"/>
        <v>0</v>
      </c>
      <c r="BI43" s="4">
        <v>20</v>
      </c>
      <c r="BJ43" s="76">
        <v>0</v>
      </c>
      <c r="BK43" s="76">
        <f t="shared" si="8"/>
        <v>0</v>
      </c>
      <c r="BL43" s="111">
        <f t="shared" si="43"/>
        <v>0</v>
      </c>
      <c r="BM43" s="4">
        <f t="shared" si="9"/>
        <v>255.70440000000002</v>
      </c>
      <c r="BN43" s="4">
        <f t="shared" si="57"/>
        <v>115.98751584000001</v>
      </c>
      <c r="BO43" s="4">
        <f t="shared" si="10"/>
        <v>77.928960000000004</v>
      </c>
      <c r="BP43" s="4">
        <f t="shared" si="58"/>
        <v>35.348576256000001</v>
      </c>
      <c r="BQ43" s="324">
        <f t="shared" si="193"/>
        <v>255.70440000000002</v>
      </c>
      <c r="BR43" s="324">
        <f t="shared" si="193"/>
        <v>115.98751584000001</v>
      </c>
      <c r="BS43" s="324">
        <f t="shared" si="194"/>
        <v>58.446719999999999</v>
      </c>
      <c r="BT43" s="324">
        <f t="shared" si="194"/>
        <v>26.511432192000001</v>
      </c>
      <c r="BU43" s="76" t="str">
        <f t="shared" si="15"/>
        <v>N/A</v>
      </c>
      <c r="BV43" s="111">
        <f t="shared" si="16"/>
        <v>0</v>
      </c>
      <c r="BW43" s="88">
        <f t="shared" si="17"/>
        <v>0</v>
      </c>
      <c r="BX43" s="89">
        <f t="shared" si="18"/>
        <v>0</v>
      </c>
      <c r="BY43" s="89">
        <f t="shared" si="19"/>
        <v>0</v>
      </c>
      <c r="BZ43" s="89">
        <f t="shared" si="20"/>
        <v>0</v>
      </c>
      <c r="CA43" s="89">
        <f t="shared" si="21"/>
        <v>0</v>
      </c>
      <c r="CB43" s="89">
        <f t="shared" si="22"/>
        <v>0</v>
      </c>
      <c r="CC43" s="89">
        <f t="shared" si="23"/>
        <v>0</v>
      </c>
      <c r="CD43" s="89">
        <f t="shared" si="24"/>
        <v>0</v>
      </c>
      <c r="CE43" s="89">
        <f t="shared" si="25"/>
        <v>0</v>
      </c>
      <c r="CF43" s="89">
        <f t="shared" si="26"/>
        <v>0</v>
      </c>
      <c r="CG43" s="89">
        <f t="shared" si="27"/>
        <v>0</v>
      </c>
      <c r="CH43" s="89">
        <f t="shared" si="28"/>
        <v>0</v>
      </c>
      <c r="CI43" s="41">
        <f t="shared" si="110"/>
        <v>0</v>
      </c>
      <c r="CJ43" s="41">
        <f t="shared" si="111"/>
        <v>0</v>
      </c>
      <c r="CK43" s="41">
        <f t="shared" si="112"/>
        <v>0</v>
      </c>
      <c r="CL43" s="41">
        <f t="shared" si="113"/>
        <v>0</v>
      </c>
      <c r="CM43" s="346">
        <f t="shared" si="29"/>
        <v>0</v>
      </c>
      <c r="CN43" s="204">
        <f t="shared" si="30"/>
        <v>0</v>
      </c>
      <c r="CO43" s="204">
        <f t="shared" si="44"/>
        <v>0</v>
      </c>
      <c r="CP43" s="204">
        <f t="shared" si="31"/>
        <v>0</v>
      </c>
      <c r="CQ43" s="204">
        <f t="shared" si="32"/>
        <v>0</v>
      </c>
      <c r="CR43" s="204">
        <f t="shared" si="45"/>
        <v>0</v>
      </c>
      <c r="CS43" s="204">
        <f t="shared" si="33"/>
        <v>0</v>
      </c>
      <c r="CT43" s="204">
        <f t="shared" si="34"/>
        <v>0</v>
      </c>
      <c r="CU43" s="204">
        <f t="shared" si="46"/>
        <v>0</v>
      </c>
      <c r="CV43" s="204">
        <f t="shared" si="35"/>
        <v>0</v>
      </c>
      <c r="CW43" s="204">
        <f t="shared" si="36"/>
        <v>0</v>
      </c>
      <c r="CX43" s="204">
        <f t="shared" si="47"/>
        <v>0</v>
      </c>
      <c r="CY43" s="286" t="s">
        <v>307</v>
      </c>
      <c r="CZ43" s="285" t="s">
        <v>56</v>
      </c>
      <c r="DA43" s="285" t="s">
        <v>57</v>
      </c>
      <c r="DB43" s="285" t="s">
        <v>241</v>
      </c>
      <c r="DC43" s="285" t="s">
        <v>241</v>
      </c>
      <c r="DD43" s="271" t="s">
        <v>124</v>
      </c>
      <c r="DE43" s="271" t="s">
        <v>125</v>
      </c>
      <c r="DF43" s="285" t="s">
        <v>56</v>
      </c>
      <c r="DG43" s="285" t="s">
        <v>56</v>
      </c>
      <c r="DH43" s="285" t="s">
        <v>56</v>
      </c>
      <c r="DI43" s="285" t="s">
        <v>56</v>
      </c>
      <c r="DJ43" s="272" t="s">
        <v>77</v>
      </c>
      <c r="DK43" s="272" t="s">
        <v>77</v>
      </c>
      <c r="DL43" s="272" t="s">
        <v>77</v>
      </c>
      <c r="DM43" s="272" t="s">
        <v>77</v>
      </c>
      <c r="DN43" s="272" t="s">
        <v>77</v>
      </c>
      <c r="DO43" s="520" t="s">
        <v>645</v>
      </c>
      <c r="DP43" s="520"/>
      <c r="DQ43" s="527" t="s">
        <v>885</v>
      </c>
      <c r="DR43" s="531" t="s">
        <v>126</v>
      </c>
      <c r="DS43" s="271" t="s">
        <v>122</v>
      </c>
      <c r="DT43" s="105" t="s">
        <v>127</v>
      </c>
      <c r="DU43" s="28"/>
      <c r="DV43" s="28"/>
      <c r="DW43" s="28"/>
      <c r="DX43" s="28"/>
      <c r="DY43" s="28"/>
      <c r="DZ43" s="28"/>
      <c r="EA43" s="28"/>
      <c r="EB43" s="28"/>
    </row>
    <row r="44" spans="1:132" ht="409.5" customHeight="1" x14ac:dyDescent="0.2">
      <c r="A44" s="753"/>
      <c r="B44" s="14" t="s">
        <v>24</v>
      </c>
      <c r="C44" s="84"/>
      <c r="D44" s="235">
        <v>404</v>
      </c>
      <c r="E44" s="271" t="s">
        <v>806</v>
      </c>
      <c r="F44" s="272" t="s">
        <v>117</v>
      </c>
      <c r="G44" s="272" t="s">
        <v>89</v>
      </c>
      <c r="H44" s="276" t="s">
        <v>86</v>
      </c>
      <c r="I44" s="275" t="s">
        <v>465</v>
      </c>
      <c r="J44" s="271" t="s">
        <v>118</v>
      </c>
      <c r="K44" s="259" t="s">
        <v>600</v>
      </c>
      <c r="L44" s="272" t="s">
        <v>5</v>
      </c>
      <c r="M44" s="307">
        <v>160</v>
      </c>
      <c r="N44" s="302" t="s">
        <v>77</v>
      </c>
      <c r="O44" s="11" t="s">
        <v>77</v>
      </c>
      <c r="P44" s="303">
        <f>M44/$P$2</f>
        <v>1</v>
      </c>
      <c r="Q44" s="589">
        <v>26.25</v>
      </c>
      <c r="R44" s="139">
        <f>$R$120</f>
        <v>8</v>
      </c>
      <c r="S44" s="4">
        <v>100</v>
      </c>
      <c r="T44" s="4">
        <v>100</v>
      </c>
      <c r="U44" s="4">
        <v>100</v>
      </c>
      <c r="V44" s="4">
        <v>100</v>
      </c>
      <c r="W44" s="189">
        <f t="shared" si="190"/>
        <v>1</v>
      </c>
      <c r="X44" s="51" t="s">
        <v>374</v>
      </c>
      <c r="Y44" s="145">
        <f t="shared" si="121"/>
        <v>12.785220000000001</v>
      </c>
      <c r="Z44" s="145">
        <f t="shared" si="122"/>
        <v>12.785220000000001</v>
      </c>
      <c r="AA44" s="145">
        <f t="shared" si="37"/>
        <v>5.7993757920000002</v>
      </c>
      <c r="AB44" s="145">
        <f t="shared" si="141"/>
        <v>5.7993757920000002</v>
      </c>
      <c r="AC44" s="145">
        <f t="shared" si="142"/>
        <v>5.7993757920000002</v>
      </c>
      <c r="AD44" s="145">
        <f t="shared" si="123"/>
        <v>3.8964480000000004</v>
      </c>
      <c r="AE44" s="145">
        <f t="shared" si="124"/>
        <v>3.8964480000000004</v>
      </c>
      <c r="AF44" s="145">
        <f t="shared" si="143"/>
        <v>1.7674288128000002</v>
      </c>
      <c r="AG44" s="145">
        <f t="shared" si="144"/>
        <v>1.7674288128000002</v>
      </c>
      <c r="AH44" s="76">
        <v>0</v>
      </c>
      <c r="AI44" s="76">
        <v>0</v>
      </c>
      <c r="AJ44" s="76">
        <f t="shared" si="48"/>
        <v>0</v>
      </c>
      <c r="AK44" s="76">
        <f t="shared" si="131"/>
        <v>0</v>
      </c>
      <c r="AL44" s="76">
        <f t="shared" si="132"/>
        <v>0</v>
      </c>
      <c r="AM44" s="76">
        <f t="shared" si="191"/>
        <v>0</v>
      </c>
      <c r="AN44" s="104" t="s">
        <v>132</v>
      </c>
      <c r="AO44" s="76">
        <v>0</v>
      </c>
      <c r="AP44" s="76">
        <f t="shared" si="51"/>
        <v>0</v>
      </c>
      <c r="AQ44" s="76">
        <f t="shared" si="52"/>
        <v>0</v>
      </c>
      <c r="AR44" s="76">
        <f t="shared" si="53"/>
        <v>0</v>
      </c>
      <c r="AS44" s="76">
        <v>0</v>
      </c>
      <c r="AT44" s="76">
        <v>0</v>
      </c>
      <c r="AU44" s="76">
        <f t="shared" si="59"/>
        <v>0</v>
      </c>
      <c r="AV44" s="76">
        <f t="shared" si="133"/>
        <v>0</v>
      </c>
      <c r="AW44" s="76">
        <f t="shared" si="134"/>
        <v>0</v>
      </c>
      <c r="AX44" s="76">
        <f t="shared" si="192"/>
        <v>0</v>
      </c>
      <c r="AY44" s="326" t="s">
        <v>132</v>
      </c>
      <c r="AZ44" s="51">
        <v>0.2</v>
      </c>
      <c r="BA44" s="51">
        <v>0</v>
      </c>
      <c r="BB44" s="327" t="s">
        <v>295</v>
      </c>
      <c r="BC44" s="76">
        <f t="shared" si="135"/>
        <v>0</v>
      </c>
      <c r="BD44" s="76">
        <f t="shared" si="136"/>
        <v>0</v>
      </c>
      <c r="BE44" s="76">
        <f t="shared" si="42"/>
        <v>0</v>
      </c>
      <c r="BF44" s="76">
        <f t="shared" si="137"/>
        <v>0</v>
      </c>
      <c r="BG44" s="76">
        <f t="shared" si="138"/>
        <v>0</v>
      </c>
      <c r="BH44" s="76">
        <f t="shared" si="7"/>
        <v>0</v>
      </c>
      <c r="BI44" s="4">
        <v>20</v>
      </c>
      <c r="BJ44" s="76">
        <v>0</v>
      </c>
      <c r="BK44" s="76">
        <f t="shared" si="8"/>
        <v>0</v>
      </c>
      <c r="BL44" s="111">
        <f t="shared" si="43"/>
        <v>0</v>
      </c>
      <c r="BM44" s="4">
        <f t="shared" si="9"/>
        <v>255.70440000000002</v>
      </c>
      <c r="BN44" s="4">
        <f t="shared" si="57"/>
        <v>115.98751584000001</v>
      </c>
      <c r="BO44" s="4">
        <f t="shared" si="10"/>
        <v>77.928960000000004</v>
      </c>
      <c r="BP44" s="4">
        <f t="shared" si="58"/>
        <v>35.348576256000001</v>
      </c>
      <c r="BQ44" s="324">
        <f t="shared" si="193"/>
        <v>255.70440000000002</v>
      </c>
      <c r="BR44" s="324">
        <f t="shared" si="193"/>
        <v>115.98751584000001</v>
      </c>
      <c r="BS44" s="324">
        <f t="shared" si="194"/>
        <v>58.446719999999999</v>
      </c>
      <c r="BT44" s="324">
        <f t="shared" si="194"/>
        <v>26.511432192000001</v>
      </c>
      <c r="BU44" s="76" t="str">
        <f t="shared" si="15"/>
        <v>N/A</v>
      </c>
      <c r="BV44" s="111">
        <f t="shared" si="16"/>
        <v>0</v>
      </c>
      <c r="BW44" s="88">
        <f t="shared" si="17"/>
        <v>0</v>
      </c>
      <c r="BX44" s="89">
        <f t="shared" si="18"/>
        <v>0</v>
      </c>
      <c r="BY44" s="89">
        <f t="shared" si="19"/>
        <v>0</v>
      </c>
      <c r="BZ44" s="89">
        <f t="shared" si="20"/>
        <v>0</v>
      </c>
      <c r="CA44" s="89">
        <f t="shared" si="21"/>
        <v>0</v>
      </c>
      <c r="CB44" s="89">
        <f t="shared" si="22"/>
        <v>0</v>
      </c>
      <c r="CC44" s="89">
        <f t="shared" si="23"/>
        <v>0</v>
      </c>
      <c r="CD44" s="89">
        <f t="shared" si="24"/>
        <v>0</v>
      </c>
      <c r="CE44" s="89">
        <f t="shared" si="25"/>
        <v>0</v>
      </c>
      <c r="CF44" s="89">
        <f t="shared" si="26"/>
        <v>0</v>
      </c>
      <c r="CG44" s="89">
        <f t="shared" si="27"/>
        <v>0</v>
      </c>
      <c r="CH44" s="89">
        <f t="shared" si="28"/>
        <v>0</v>
      </c>
      <c r="CI44" s="41">
        <f t="shared" si="110"/>
        <v>0</v>
      </c>
      <c r="CJ44" s="41">
        <f t="shared" si="111"/>
        <v>0</v>
      </c>
      <c r="CK44" s="41">
        <f t="shared" si="112"/>
        <v>0</v>
      </c>
      <c r="CL44" s="41">
        <f t="shared" si="113"/>
        <v>0</v>
      </c>
      <c r="CM44" s="346">
        <f t="shared" si="29"/>
        <v>0</v>
      </c>
      <c r="CN44" s="204">
        <f t="shared" si="30"/>
        <v>0</v>
      </c>
      <c r="CO44" s="204">
        <f t="shared" si="44"/>
        <v>0</v>
      </c>
      <c r="CP44" s="204">
        <f t="shared" si="31"/>
        <v>0</v>
      </c>
      <c r="CQ44" s="204">
        <f t="shared" si="32"/>
        <v>0</v>
      </c>
      <c r="CR44" s="204">
        <f t="shared" si="45"/>
        <v>0</v>
      </c>
      <c r="CS44" s="204">
        <f t="shared" si="33"/>
        <v>0</v>
      </c>
      <c r="CT44" s="204">
        <f t="shared" si="34"/>
        <v>0</v>
      </c>
      <c r="CU44" s="204">
        <f t="shared" si="46"/>
        <v>0</v>
      </c>
      <c r="CV44" s="204">
        <f t="shared" si="35"/>
        <v>0</v>
      </c>
      <c r="CW44" s="204">
        <f t="shared" si="36"/>
        <v>0</v>
      </c>
      <c r="CX44" s="204">
        <f t="shared" si="47"/>
        <v>0</v>
      </c>
      <c r="CY44" s="286" t="s">
        <v>118</v>
      </c>
      <c r="CZ44" s="285" t="s">
        <v>57</v>
      </c>
      <c r="DA44" s="285" t="s">
        <v>57</v>
      </c>
      <c r="DB44" s="285" t="s">
        <v>331</v>
      </c>
      <c r="DC44" s="285" t="s">
        <v>241</v>
      </c>
      <c r="DD44" s="271" t="s">
        <v>250</v>
      </c>
      <c r="DE44" s="271" t="s">
        <v>251</v>
      </c>
      <c r="DF44" s="285" t="s">
        <v>56</v>
      </c>
      <c r="DG44" s="285" t="s">
        <v>56</v>
      </c>
      <c r="DH44" s="285" t="s">
        <v>56</v>
      </c>
      <c r="DI44" s="285" t="s">
        <v>56</v>
      </c>
      <c r="DJ44" s="272" t="s">
        <v>77</v>
      </c>
      <c r="DK44" s="272" t="s">
        <v>77</v>
      </c>
      <c r="DL44" s="272" t="s">
        <v>77</v>
      </c>
      <c r="DM44" s="272" t="s">
        <v>77</v>
      </c>
      <c r="DN44" s="272" t="s">
        <v>77</v>
      </c>
      <c r="DO44" s="520" t="s">
        <v>645</v>
      </c>
      <c r="DP44" s="520"/>
      <c r="DQ44" s="527" t="s">
        <v>886</v>
      </c>
      <c r="DR44" s="531" t="s">
        <v>887</v>
      </c>
      <c r="DS44" s="271" t="s">
        <v>122</v>
      </c>
      <c r="DT44" s="105" t="s">
        <v>127</v>
      </c>
      <c r="DU44" s="28"/>
      <c r="DV44" s="28"/>
      <c r="DW44" s="28"/>
      <c r="DX44" s="28"/>
      <c r="DY44" s="28"/>
      <c r="DZ44" s="28"/>
      <c r="EA44" s="28"/>
      <c r="EB44" s="28"/>
    </row>
    <row r="45" spans="1:132" ht="269.25" customHeight="1" x14ac:dyDescent="0.2">
      <c r="A45" s="754" t="s">
        <v>25</v>
      </c>
      <c r="B45" s="15" t="s">
        <v>128</v>
      </c>
      <c r="C45" s="84"/>
      <c r="D45" s="235">
        <v>500</v>
      </c>
      <c r="E45" s="271" t="s">
        <v>819</v>
      </c>
      <c r="F45" s="272" t="s">
        <v>129</v>
      </c>
      <c r="G45" s="272" t="s">
        <v>77</v>
      </c>
      <c r="H45" s="276" t="s">
        <v>130</v>
      </c>
      <c r="I45" s="275" t="s">
        <v>779</v>
      </c>
      <c r="J45" s="271" t="s">
        <v>131</v>
      </c>
      <c r="K45" s="259" t="s">
        <v>624</v>
      </c>
      <c r="L45" s="272" t="s">
        <v>26</v>
      </c>
      <c r="M45" s="307">
        <v>10000</v>
      </c>
      <c r="N45" s="302" t="s">
        <v>77</v>
      </c>
      <c r="O45" s="314" t="s">
        <v>77</v>
      </c>
      <c r="P45" s="303" t="s">
        <v>77</v>
      </c>
      <c r="Q45" s="316">
        <v>0.75</v>
      </c>
      <c r="R45" s="316">
        <v>0.5</v>
      </c>
      <c r="S45" s="260">
        <v>8</v>
      </c>
      <c r="T45" s="260">
        <v>15</v>
      </c>
      <c r="U45" s="352">
        <v>0.5</v>
      </c>
      <c r="V45" s="260">
        <v>1</v>
      </c>
      <c r="W45" s="303" t="s">
        <v>77</v>
      </c>
      <c r="X45" s="51" t="s">
        <v>374</v>
      </c>
      <c r="Y45" s="145">
        <f t="shared" si="121"/>
        <v>1.82646</v>
      </c>
      <c r="Z45" s="145">
        <f t="shared" si="122"/>
        <v>3.4246124999999994</v>
      </c>
      <c r="AA45" s="145">
        <f t="shared" si="37"/>
        <v>0.82848225600000003</v>
      </c>
      <c r="AB45" s="145">
        <f t="shared" si="141"/>
        <v>1.5534042299999997</v>
      </c>
      <c r="AC45" s="145">
        <f t="shared" si="142"/>
        <v>1.190943243</v>
      </c>
      <c r="AD45" s="145">
        <f t="shared" si="123"/>
        <v>7.6102500000000003E-2</v>
      </c>
      <c r="AE45" s="145">
        <f t="shared" si="124"/>
        <v>0.15220500000000001</v>
      </c>
      <c r="AF45" s="145">
        <f t="shared" si="143"/>
        <v>3.4520094000000001E-2</v>
      </c>
      <c r="AG45" s="145">
        <f t="shared" si="144"/>
        <v>6.9040188000000002E-2</v>
      </c>
      <c r="AH45" s="76">
        <v>125</v>
      </c>
      <c r="AI45" s="76">
        <v>150</v>
      </c>
      <c r="AJ45" s="76">
        <f t="shared" si="48"/>
        <v>137.5</v>
      </c>
      <c r="AK45" s="76">
        <f t="shared" si="131"/>
        <v>125</v>
      </c>
      <c r="AL45" s="76">
        <f t="shared" si="132"/>
        <v>150</v>
      </c>
      <c r="AM45" s="76">
        <f t="shared" si="191"/>
        <v>137.5</v>
      </c>
      <c r="AN45" s="104">
        <v>0</v>
      </c>
      <c r="AO45" s="76">
        <v>0</v>
      </c>
      <c r="AP45" s="76">
        <f t="shared" si="51"/>
        <v>175</v>
      </c>
      <c r="AQ45" s="76">
        <f t="shared" si="52"/>
        <v>210</v>
      </c>
      <c r="AR45" s="76">
        <f t="shared" si="53"/>
        <v>192.5</v>
      </c>
      <c r="AS45" s="76">
        <v>1</v>
      </c>
      <c r="AT45" s="76">
        <v>2</v>
      </c>
      <c r="AU45" s="76">
        <f t="shared" si="59"/>
        <v>1.5</v>
      </c>
      <c r="AV45" s="76">
        <f t="shared" si="133"/>
        <v>1</v>
      </c>
      <c r="AW45" s="76">
        <f t="shared" si="134"/>
        <v>2</v>
      </c>
      <c r="AX45" s="76">
        <f t="shared" si="192"/>
        <v>1.5</v>
      </c>
      <c r="AY45" s="326">
        <v>0.75</v>
      </c>
      <c r="AZ45" s="51">
        <v>0.2</v>
      </c>
      <c r="BA45" s="51">
        <v>0.1</v>
      </c>
      <c r="BB45" s="327" t="s">
        <v>296</v>
      </c>
      <c r="BC45" s="76">
        <f t="shared" si="135"/>
        <v>210</v>
      </c>
      <c r="BD45" s="76">
        <f t="shared" si="136"/>
        <v>252</v>
      </c>
      <c r="BE45" s="76">
        <f t="shared" si="42"/>
        <v>231</v>
      </c>
      <c r="BF45" s="76">
        <f t="shared" si="137"/>
        <v>1.1000000000000001</v>
      </c>
      <c r="BG45" s="76">
        <f t="shared" si="138"/>
        <v>2.2000000000000002</v>
      </c>
      <c r="BH45" s="76">
        <f t="shared" si="7"/>
        <v>1.6500000000000001</v>
      </c>
      <c r="BI45" s="4">
        <v>10</v>
      </c>
      <c r="BJ45" s="76">
        <f>BE45</f>
        <v>231</v>
      </c>
      <c r="BK45" s="76">
        <f t="shared" si="8"/>
        <v>462</v>
      </c>
      <c r="BL45" s="111">
        <f t="shared" si="43"/>
        <v>141.81396156791541</v>
      </c>
      <c r="BM45" s="4">
        <f t="shared" si="9"/>
        <v>52.510724999999994</v>
      </c>
      <c r="BN45" s="4">
        <f t="shared" si="57"/>
        <v>23.818864859999998</v>
      </c>
      <c r="BO45" s="4">
        <f t="shared" si="10"/>
        <v>2.2830750000000002</v>
      </c>
      <c r="BP45" s="4">
        <f t="shared" si="58"/>
        <v>1.03560282</v>
      </c>
      <c r="BQ45" s="324">
        <f t="shared" si="193"/>
        <v>52.510724999999994</v>
      </c>
      <c r="BR45" s="324">
        <f t="shared" si="193"/>
        <v>23.818864859999998</v>
      </c>
      <c r="BS45" s="324">
        <f t="shared" si="194"/>
        <v>2.2830750000000002</v>
      </c>
      <c r="BT45" s="324">
        <f t="shared" si="194"/>
        <v>1.03560282</v>
      </c>
      <c r="BU45" s="76" t="str">
        <f t="shared" si="15"/>
        <v>N/A</v>
      </c>
      <c r="BV45" s="76" t="s">
        <v>77</v>
      </c>
      <c r="BW45" s="78">
        <f t="shared" si="17"/>
        <v>7.0997679344155964</v>
      </c>
      <c r="BX45" s="76">
        <f t="shared" si="18"/>
        <v>0.39158947177345166</v>
      </c>
      <c r="BY45" s="76">
        <f t="shared" si="19"/>
        <v>7.4913574061890484</v>
      </c>
      <c r="BZ45" s="76">
        <f t="shared" si="20"/>
        <v>15.652045710792761</v>
      </c>
      <c r="CA45" s="76">
        <f t="shared" si="21"/>
        <v>0.86329248627304156</v>
      </c>
      <c r="CB45" s="76">
        <f t="shared" si="22"/>
        <v>16.515338197065802</v>
      </c>
      <c r="CC45" s="76">
        <f t="shared" si="23"/>
        <v>163.29466249155868</v>
      </c>
      <c r="CD45" s="76">
        <f t="shared" si="24"/>
        <v>9.0065578507893864</v>
      </c>
      <c r="CE45" s="76">
        <f t="shared" si="25"/>
        <v>172.30122034234807</v>
      </c>
      <c r="CF45" s="76">
        <f t="shared" si="26"/>
        <v>359.99705134823347</v>
      </c>
      <c r="CG45" s="76">
        <f t="shared" si="27"/>
        <v>19.855727184279953</v>
      </c>
      <c r="CH45" s="76">
        <f t="shared" si="28"/>
        <v>379.85277853251341</v>
      </c>
      <c r="CI45" s="41">
        <f t="shared" si="110"/>
        <v>65.323720968954589</v>
      </c>
      <c r="CJ45" s="41">
        <f t="shared" si="111"/>
        <v>152.98274408067408</v>
      </c>
      <c r="CK45" s="41">
        <f t="shared" si="112"/>
        <v>1469.7837218014781</v>
      </c>
      <c r="CL45" s="41">
        <f t="shared" si="113"/>
        <v>3671.5858579361775</v>
      </c>
      <c r="CM45" s="346">
        <f t="shared" si="29"/>
        <v>7.0997679344155964</v>
      </c>
      <c r="CN45" s="204">
        <f t="shared" si="30"/>
        <v>0.39158947177345166</v>
      </c>
      <c r="CO45" s="204">
        <f t="shared" si="44"/>
        <v>7.4913574061890484</v>
      </c>
      <c r="CP45" s="204">
        <f t="shared" si="31"/>
        <v>15.652045710792761</v>
      </c>
      <c r="CQ45" s="204">
        <f t="shared" si="32"/>
        <v>0.86329248627304156</v>
      </c>
      <c r="CR45" s="204">
        <f t="shared" si="45"/>
        <v>16.515338197065802</v>
      </c>
      <c r="CS45" s="204">
        <f t="shared" si="33"/>
        <v>163.29466249155868</v>
      </c>
      <c r="CT45" s="204">
        <f t="shared" si="34"/>
        <v>9.0065578507893864</v>
      </c>
      <c r="CU45" s="204">
        <f t="shared" si="46"/>
        <v>172.30122034234807</v>
      </c>
      <c r="CV45" s="204">
        <f t="shared" si="35"/>
        <v>359.99705134823347</v>
      </c>
      <c r="CW45" s="204">
        <f t="shared" si="36"/>
        <v>19.855727184279953</v>
      </c>
      <c r="CX45" s="204">
        <f t="shared" si="47"/>
        <v>379.85277853251341</v>
      </c>
      <c r="CY45" s="286" t="s">
        <v>118</v>
      </c>
      <c r="CZ45" s="285" t="s">
        <v>57</v>
      </c>
      <c r="DA45" s="285" t="s">
        <v>57</v>
      </c>
      <c r="DB45" s="285" t="s">
        <v>334</v>
      </c>
      <c r="DC45" s="285" t="s">
        <v>56</v>
      </c>
      <c r="DD45" s="271" t="s">
        <v>252</v>
      </c>
      <c r="DE45" s="271" t="s">
        <v>253</v>
      </c>
      <c r="DF45" s="285" t="s">
        <v>56</v>
      </c>
      <c r="DG45" s="285" t="s">
        <v>56</v>
      </c>
      <c r="DH45" s="285" t="s">
        <v>56</v>
      </c>
      <c r="DI45" s="285" t="s">
        <v>56</v>
      </c>
      <c r="DJ45" s="271" t="s">
        <v>363</v>
      </c>
      <c r="DK45" s="272" t="s">
        <v>358</v>
      </c>
      <c r="DL45" s="272" t="s">
        <v>350</v>
      </c>
      <c r="DM45" s="271" t="s">
        <v>363</v>
      </c>
      <c r="DN45" s="272" t="s">
        <v>481</v>
      </c>
      <c r="DO45" s="520" t="s">
        <v>645</v>
      </c>
      <c r="DP45" s="520"/>
      <c r="DQ45" s="527" t="s">
        <v>888</v>
      </c>
      <c r="DR45" s="532" t="s">
        <v>537</v>
      </c>
      <c r="DS45" s="271" t="s">
        <v>453</v>
      </c>
      <c r="DT45" s="106"/>
      <c r="DU45" s="28"/>
      <c r="DV45" s="28"/>
      <c r="DW45" s="28"/>
      <c r="DX45" s="28"/>
      <c r="DY45" s="28"/>
      <c r="DZ45" s="28"/>
      <c r="EA45" s="28"/>
      <c r="EB45" s="28"/>
    </row>
    <row r="46" spans="1:132" ht="185.25" customHeight="1" x14ac:dyDescent="0.2">
      <c r="A46" s="754"/>
      <c r="B46" s="15" t="s">
        <v>426</v>
      </c>
      <c r="C46" s="84"/>
      <c r="D46" s="235">
        <v>501</v>
      </c>
      <c r="E46" s="271" t="s">
        <v>818</v>
      </c>
      <c r="F46" s="272" t="s">
        <v>129</v>
      </c>
      <c r="G46" s="272" t="s">
        <v>77</v>
      </c>
      <c r="H46" s="276" t="s">
        <v>130</v>
      </c>
      <c r="I46" s="275" t="s">
        <v>779</v>
      </c>
      <c r="J46" s="271" t="s">
        <v>274</v>
      </c>
      <c r="K46" s="259" t="s">
        <v>615</v>
      </c>
      <c r="L46" s="272" t="s">
        <v>9</v>
      </c>
      <c r="M46" s="308" t="s">
        <v>77</v>
      </c>
      <c r="N46" s="301">
        <v>1</v>
      </c>
      <c r="O46" s="11" t="s">
        <v>77</v>
      </c>
      <c r="P46" s="303" t="s">
        <v>77</v>
      </c>
      <c r="Q46" s="141">
        <v>1</v>
      </c>
      <c r="R46" s="141">
        <f>$R$123</f>
        <v>0.5</v>
      </c>
      <c r="S46" s="4">
        <v>10</v>
      </c>
      <c r="T46" s="4">
        <v>25</v>
      </c>
      <c r="U46" s="4">
        <v>0</v>
      </c>
      <c r="V46" s="4">
        <v>0</v>
      </c>
      <c r="W46" s="189">
        <f>($Q$53-($Q$53*(($T$53+$S$53)/2)/100)-(Q46-(Q46*((T46+S46)/2)/100)))/($Q$53-($Q$53*(($T$53+$S$53)/2)/100))</f>
        <v>0.96857142857142864</v>
      </c>
      <c r="X46" s="51" t="s">
        <v>77</v>
      </c>
      <c r="Y46" s="265">
        <f>N46*$W$118</f>
        <v>225</v>
      </c>
      <c r="Z46" s="265">
        <f>N46*$X$118</f>
        <v>275</v>
      </c>
      <c r="AA46" s="145">
        <f t="shared" si="37"/>
        <v>102.06</v>
      </c>
      <c r="AB46" s="145">
        <f>Z46*0.4536</f>
        <v>124.74</v>
      </c>
      <c r="AC46" s="145">
        <f>(AA46+AB46)/2</f>
        <v>113.4</v>
      </c>
      <c r="AD46" s="145">
        <v>0</v>
      </c>
      <c r="AE46" s="145">
        <v>0</v>
      </c>
      <c r="AF46" s="145">
        <f t="shared" si="143"/>
        <v>0</v>
      </c>
      <c r="AG46" s="145">
        <f t="shared" si="144"/>
        <v>0</v>
      </c>
      <c r="AH46" s="76">
        <v>35000</v>
      </c>
      <c r="AI46" s="76">
        <v>75000</v>
      </c>
      <c r="AJ46" s="76">
        <f t="shared" si="48"/>
        <v>55000</v>
      </c>
      <c r="AK46" s="76">
        <f t="shared" si="131"/>
        <v>35000</v>
      </c>
      <c r="AL46" s="76">
        <f t="shared" si="132"/>
        <v>75000</v>
      </c>
      <c r="AM46" s="76">
        <f t="shared" si="191"/>
        <v>55000</v>
      </c>
      <c r="AN46" s="104">
        <v>0.5</v>
      </c>
      <c r="AO46" s="76">
        <v>0</v>
      </c>
      <c r="AP46" s="76">
        <f t="shared" si="51"/>
        <v>49000</v>
      </c>
      <c r="AQ46" s="76">
        <f t="shared" si="52"/>
        <v>105000</v>
      </c>
      <c r="AR46" s="76">
        <f t="shared" si="53"/>
        <v>77000</v>
      </c>
      <c r="AS46" s="76">
        <v>3000</v>
      </c>
      <c r="AT46" s="76">
        <v>8000</v>
      </c>
      <c r="AU46" s="76">
        <f t="shared" si="59"/>
        <v>5500</v>
      </c>
      <c r="AV46" s="76">
        <f t="shared" si="133"/>
        <v>3000</v>
      </c>
      <c r="AW46" s="76">
        <f t="shared" si="134"/>
        <v>8000</v>
      </c>
      <c r="AX46" s="76">
        <f t="shared" si="192"/>
        <v>5500</v>
      </c>
      <c r="AY46" s="326">
        <v>0.75</v>
      </c>
      <c r="AZ46" s="51">
        <v>0.2</v>
      </c>
      <c r="BA46" s="51">
        <v>0.1</v>
      </c>
      <c r="BB46" s="327" t="s">
        <v>292</v>
      </c>
      <c r="BC46" s="76">
        <f t="shared" si="135"/>
        <v>58800</v>
      </c>
      <c r="BD46" s="76">
        <f t="shared" si="136"/>
        <v>126000</v>
      </c>
      <c r="BE46" s="76">
        <f t="shared" si="42"/>
        <v>92400</v>
      </c>
      <c r="BF46" s="76">
        <f t="shared" si="137"/>
        <v>3300.0000000000005</v>
      </c>
      <c r="BG46" s="76">
        <f t="shared" si="138"/>
        <v>8800</v>
      </c>
      <c r="BH46" s="76">
        <f t="shared" si="7"/>
        <v>6050.0000000000009</v>
      </c>
      <c r="BI46" s="4">
        <v>20</v>
      </c>
      <c r="BJ46" s="76">
        <f>BE46*0.5</f>
        <v>46200</v>
      </c>
      <c r="BK46" s="76">
        <f t="shared" si="8"/>
        <v>46200</v>
      </c>
      <c r="BL46" s="111">
        <f t="shared" si="43"/>
        <v>0</v>
      </c>
      <c r="BM46" s="4">
        <f t="shared" si="9"/>
        <v>5000</v>
      </c>
      <c r="BN46" s="4">
        <f t="shared" si="57"/>
        <v>2268</v>
      </c>
      <c r="BO46" s="4">
        <f t="shared" si="10"/>
        <v>0</v>
      </c>
      <c r="BP46" s="4">
        <f t="shared" si="58"/>
        <v>0</v>
      </c>
      <c r="BQ46" s="324">
        <f t="shared" si="193"/>
        <v>5000</v>
      </c>
      <c r="BR46" s="324">
        <f t="shared" si="193"/>
        <v>2268</v>
      </c>
      <c r="BS46" s="324">
        <f t="shared" si="194"/>
        <v>0</v>
      </c>
      <c r="BT46" s="324">
        <f t="shared" si="194"/>
        <v>0</v>
      </c>
      <c r="BU46" s="76" t="str">
        <f t="shared" si="15"/>
        <v>N/A</v>
      </c>
      <c r="BV46" s="76" t="s">
        <v>77</v>
      </c>
      <c r="BW46" s="88">
        <f t="shared" si="17"/>
        <v>18.48</v>
      </c>
      <c r="BX46" s="89">
        <f t="shared" si="18"/>
        <v>15.079274514473385</v>
      </c>
      <c r="BY46" s="89">
        <f t="shared" si="19"/>
        <v>33.559274514473387</v>
      </c>
      <c r="BZ46" s="89">
        <f t="shared" si="20"/>
        <v>40.74074074074074</v>
      </c>
      <c r="CA46" s="89">
        <f t="shared" si="21"/>
        <v>33.243550516916628</v>
      </c>
      <c r="CB46" s="89">
        <f t="shared" si="22"/>
        <v>73.984291257657361</v>
      </c>
      <c r="CC46" s="89">
        <f t="shared" si="23"/>
        <v>0</v>
      </c>
      <c r="CD46" s="89">
        <f t="shared" si="24"/>
        <v>0</v>
      </c>
      <c r="CE46" s="89">
        <f t="shared" si="25"/>
        <v>0</v>
      </c>
      <c r="CF46" s="89">
        <f t="shared" si="26"/>
        <v>0</v>
      </c>
      <c r="CG46" s="89">
        <f t="shared" si="27"/>
        <v>0</v>
      </c>
      <c r="CH46" s="89">
        <f t="shared" si="28"/>
        <v>0</v>
      </c>
      <c r="CI46" s="41">
        <f t="shared" si="110"/>
        <v>363.36470592866164</v>
      </c>
      <c r="CJ46" s="41">
        <f t="shared" si="111"/>
        <v>1047.4108933971195</v>
      </c>
      <c r="CK46" s="41">
        <f t="shared" si="112"/>
        <v>0</v>
      </c>
      <c r="CL46" s="41">
        <f t="shared" si="113"/>
        <v>0</v>
      </c>
      <c r="CM46" s="346">
        <f t="shared" si="29"/>
        <v>18.48</v>
      </c>
      <c r="CN46" s="204">
        <f t="shared" si="30"/>
        <v>15.079274514473385</v>
      </c>
      <c r="CO46" s="204">
        <f t="shared" si="44"/>
        <v>33.559274514473387</v>
      </c>
      <c r="CP46" s="204">
        <f t="shared" si="31"/>
        <v>40.74074074074074</v>
      </c>
      <c r="CQ46" s="204">
        <f t="shared" si="32"/>
        <v>33.243550516916628</v>
      </c>
      <c r="CR46" s="204">
        <f t="shared" si="45"/>
        <v>73.984291257657361</v>
      </c>
      <c r="CS46" s="204">
        <f t="shared" si="33"/>
        <v>0</v>
      </c>
      <c r="CT46" s="204">
        <f t="shared" si="34"/>
        <v>0</v>
      </c>
      <c r="CU46" s="204">
        <f t="shared" si="46"/>
        <v>0</v>
      </c>
      <c r="CV46" s="204">
        <f t="shared" si="35"/>
        <v>0</v>
      </c>
      <c r="CW46" s="204">
        <f t="shared" si="36"/>
        <v>0</v>
      </c>
      <c r="CX46" s="204">
        <f t="shared" si="47"/>
        <v>0</v>
      </c>
      <c r="CY46" s="286" t="s">
        <v>118</v>
      </c>
      <c r="CZ46" s="285" t="s">
        <v>57</v>
      </c>
      <c r="DA46" s="285" t="s">
        <v>57</v>
      </c>
      <c r="DB46" s="285" t="s">
        <v>334</v>
      </c>
      <c r="DC46" s="285" t="s">
        <v>57</v>
      </c>
      <c r="DD46" s="271" t="s">
        <v>314</v>
      </c>
      <c r="DE46" s="271"/>
      <c r="DF46" s="285" t="s">
        <v>56</v>
      </c>
      <c r="DG46" s="285" t="s">
        <v>56</v>
      </c>
      <c r="DH46" s="285" t="s">
        <v>56</v>
      </c>
      <c r="DI46" s="285" t="s">
        <v>56</v>
      </c>
      <c r="DJ46" s="271" t="s">
        <v>363</v>
      </c>
      <c r="DK46" s="272" t="s">
        <v>358</v>
      </c>
      <c r="DL46" s="271" t="s">
        <v>350</v>
      </c>
      <c r="DM46" s="271" t="s">
        <v>363</v>
      </c>
      <c r="DN46" s="272" t="s">
        <v>481</v>
      </c>
      <c r="DO46" s="520" t="s">
        <v>834</v>
      </c>
      <c r="DP46" s="520"/>
      <c r="DQ46" s="527" t="s">
        <v>889</v>
      </c>
      <c r="DR46" s="532" t="s">
        <v>480</v>
      </c>
      <c r="DS46" s="271" t="s">
        <v>385</v>
      </c>
      <c r="DT46" s="106"/>
      <c r="DU46" s="28"/>
      <c r="DV46" s="28"/>
      <c r="DW46" s="28"/>
      <c r="DX46" s="28"/>
      <c r="DY46" s="28"/>
      <c r="DZ46" s="28"/>
      <c r="EA46" s="28"/>
      <c r="EB46" s="28"/>
    </row>
    <row r="47" spans="1:132" ht="185.25" customHeight="1" x14ac:dyDescent="0.2">
      <c r="A47" s="754"/>
      <c r="B47" s="506" t="s">
        <v>697</v>
      </c>
      <c r="C47" s="84"/>
      <c r="D47" s="235"/>
      <c r="E47" s="433" t="s">
        <v>826</v>
      </c>
      <c r="F47" s="513" t="s">
        <v>94</v>
      </c>
      <c r="G47" s="513" t="s">
        <v>371</v>
      </c>
      <c r="H47" s="514" t="s">
        <v>86</v>
      </c>
      <c r="I47" s="515" t="s">
        <v>775</v>
      </c>
      <c r="J47" s="433" t="s">
        <v>490</v>
      </c>
      <c r="K47" s="259"/>
      <c r="L47" s="431"/>
      <c r="M47" s="308"/>
      <c r="N47" s="301"/>
      <c r="O47" s="11"/>
      <c r="P47" s="303"/>
      <c r="Q47" s="141"/>
      <c r="R47" s="141"/>
      <c r="S47" s="4"/>
      <c r="T47" s="4"/>
      <c r="U47" s="4"/>
      <c r="V47" s="4"/>
      <c r="W47" s="189"/>
      <c r="X47" s="51"/>
      <c r="Y47" s="265"/>
      <c r="Z47" s="265"/>
      <c r="AA47" s="145"/>
      <c r="AB47" s="145"/>
      <c r="AC47" s="145">
        <v>52</v>
      </c>
      <c r="AD47" s="145"/>
      <c r="AE47" s="145"/>
      <c r="AF47" s="145"/>
      <c r="AG47" s="145"/>
      <c r="AH47" s="76"/>
      <c r="AI47" s="76"/>
      <c r="AJ47" s="76"/>
      <c r="AK47" s="76"/>
      <c r="AL47" s="76"/>
      <c r="AM47" s="76"/>
      <c r="AN47" s="104"/>
      <c r="AO47" s="76"/>
      <c r="AP47" s="76"/>
      <c r="AQ47" s="76"/>
      <c r="AR47" s="76"/>
      <c r="AS47" s="76"/>
      <c r="AT47" s="76"/>
      <c r="AU47" s="76"/>
      <c r="AV47" s="76"/>
      <c r="AW47" s="76"/>
      <c r="AX47" s="76"/>
      <c r="AY47" s="326"/>
      <c r="AZ47" s="51"/>
      <c r="BA47" s="51"/>
      <c r="BB47" s="327"/>
      <c r="BC47" s="76"/>
      <c r="BD47" s="76"/>
      <c r="BE47" s="76"/>
      <c r="BF47" s="76"/>
      <c r="BG47" s="76"/>
      <c r="BH47" s="76"/>
      <c r="BI47" s="4"/>
      <c r="BJ47" s="76"/>
      <c r="BK47" s="76"/>
      <c r="BL47" s="111"/>
      <c r="BM47" s="4"/>
      <c r="BN47" s="4"/>
      <c r="BO47" s="4"/>
      <c r="BP47" s="4"/>
      <c r="BQ47" s="324"/>
      <c r="BR47" s="324"/>
      <c r="BS47" s="324"/>
      <c r="BT47" s="324"/>
      <c r="BU47" s="76"/>
      <c r="BV47" s="76"/>
      <c r="BW47" s="88"/>
      <c r="BX47" s="89"/>
      <c r="BY47" s="89"/>
      <c r="BZ47" s="89"/>
      <c r="CA47" s="89"/>
      <c r="CB47" s="89"/>
      <c r="CC47" s="89"/>
      <c r="CD47" s="89"/>
      <c r="CE47" s="89"/>
      <c r="CF47" s="89"/>
      <c r="CG47" s="89"/>
      <c r="CH47" s="89"/>
      <c r="CI47" s="41"/>
      <c r="CJ47" s="41"/>
      <c r="CK47" s="41"/>
      <c r="CL47" s="41"/>
      <c r="CM47" s="346"/>
      <c r="CN47" s="204"/>
      <c r="CO47" s="204"/>
      <c r="CP47" s="204"/>
      <c r="CQ47" s="204"/>
      <c r="CR47" s="204"/>
      <c r="CS47" s="204"/>
      <c r="CT47" s="204"/>
      <c r="CU47" s="204"/>
      <c r="CV47" s="204"/>
      <c r="CW47" s="204"/>
      <c r="CX47" s="204"/>
      <c r="CY47" s="429"/>
      <c r="CZ47" s="428"/>
      <c r="DA47" s="428"/>
      <c r="DB47" s="428"/>
      <c r="DC47" s="428"/>
      <c r="DD47" s="430"/>
      <c r="DE47" s="430"/>
      <c r="DF47" s="428"/>
      <c r="DG47" s="428"/>
      <c r="DH47" s="428"/>
      <c r="DI47" s="428"/>
      <c r="DJ47" s="430"/>
      <c r="DK47" s="431"/>
      <c r="DL47" s="430"/>
      <c r="DM47" s="430"/>
      <c r="DN47" s="431"/>
      <c r="DO47" s="520" t="s">
        <v>834</v>
      </c>
      <c r="DP47" s="520"/>
      <c r="DQ47" s="527" t="s">
        <v>890</v>
      </c>
      <c r="DR47" s="531" t="s">
        <v>891</v>
      </c>
      <c r="DS47" s="430"/>
      <c r="DT47" s="106"/>
      <c r="DU47" s="28"/>
      <c r="DV47" s="28"/>
      <c r="DW47" s="28"/>
      <c r="DX47" s="28"/>
      <c r="DY47" s="28"/>
      <c r="DZ47" s="28"/>
      <c r="EA47" s="28"/>
      <c r="EB47" s="28"/>
    </row>
    <row r="48" spans="1:132" ht="242.25" customHeight="1" x14ac:dyDescent="0.2">
      <c r="A48" s="754"/>
      <c r="B48" s="15" t="s">
        <v>342</v>
      </c>
      <c r="C48" s="84"/>
      <c r="D48" s="235">
        <v>502</v>
      </c>
      <c r="E48" s="271" t="s">
        <v>817</v>
      </c>
      <c r="F48" s="272" t="s">
        <v>129</v>
      </c>
      <c r="G48" s="272" t="s">
        <v>77</v>
      </c>
      <c r="H48" s="276" t="s">
        <v>130</v>
      </c>
      <c r="I48" s="275" t="s">
        <v>775</v>
      </c>
      <c r="J48" s="271" t="s">
        <v>322</v>
      </c>
      <c r="K48" s="259" t="s">
        <v>616</v>
      </c>
      <c r="L48" s="272" t="s">
        <v>38</v>
      </c>
      <c r="M48" s="309">
        <v>1500</v>
      </c>
      <c r="N48" s="302" t="s">
        <v>77</v>
      </c>
      <c r="O48" s="300">
        <v>1</v>
      </c>
      <c r="P48" s="303" t="s">
        <v>77</v>
      </c>
      <c r="Q48" s="316">
        <v>0.75</v>
      </c>
      <c r="R48" s="316">
        <v>0.5</v>
      </c>
      <c r="S48" s="4">
        <v>20</v>
      </c>
      <c r="T48" s="4">
        <v>30</v>
      </c>
      <c r="U48" s="145">
        <v>0.5</v>
      </c>
      <c r="V48" s="4">
        <v>1</v>
      </c>
      <c r="W48" s="189">
        <f>($Q$53-($Q$53*(($T$53+$S$53)/2)/100)-(Q48-(Q48*((T48+S48)/2)/100)))/($Q$53-($Q$53*(($T$53+$S$53)/2)/100))</f>
        <v>0.97857142857142854</v>
      </c>
      <c r="X48" s="51" t="s">
        <v>374</v>
      </c>
      <c r="Y48" s="145">
        <f>((($Q48)*($S48)/100))*(8.34*($M48/1000000))*365</f>
        <v>0.68492249999999999</v>
      </c>
      <c r="Z48" s="145">
        <f>((($Q48)*($T48/100))*(8.34*($M48/1000000)))*365</f>
        <v>1.02738375</v>
      </c>
      <c r="AA48" s="145">
        <f t="shared" si="37"/>
        <v>0.31068084600000001</v>
      </c>
      <c r="AB48" s="145">
        <f t="shared" si="141"/>
        <v>0.46602126900000002</v>
      </c>
      <c r="AC48" s="145">
        <f t="shared" si="142"/>
        <v>0.38835105749999999</v>
      </c>
      <c r="AD48" s="145">
        <f>((($R48)*($U48/100))*(8.34*($M48/1000000)))*365</f>
        <v>1.1415375E-2</v>
      </c>
      <c r="AE48" s="145">
        <f>((($R48)*($V48/100))*(8.34*($M48/1000000)))*365</f>
        <v>2.283075E-2</v>
      </c>
      <c r="AF48" s="145">
        <f t="shared" si="143"/>
        <v>5.1780141000000003E-3</v>
      </c>
      <c r="AG48" s="145">
        <f t="shared" si="144"/>
        <v>1.0356028200000001E-2</v>
      </c>
      <c r="AH48" s="76">
        <v>20</v>
      </c>
      <c r="AI48" s="76">
        <v>30</v>
      </c>
      <c r="AJ48" s="76">
        <f t="shared" si="48"/>
        <v>25</v>
      </c>
      <c r="AK48" s="76">
        <f t="shared" si="131"/>
        <v>20</v>
      </c>
      <c r="AL48" s="76">
        <f t="shared" si="132"/>
        <v>30</v>
      </c>
      <c r="AM48" s="76">
        <f>AJ48*($AA$109/$AA$107)</f>
        <v>25</v>
      </c>
      <c r="AN48" s="104">
        <v>0.4</v>
      </c>
      <c r="AO48" s="76">
        <v>0</v>
      </c>
      <c r="AP48" s="76">
        <f t="shared" si="51"/>
        <v>28</v>
      </c>
      <c r="AQ48" s="76">
        <f t="shared" si="52"/>
        <v>42</v>
      </c>
      <c r="AR48" s="76">
        <f t="shared" si="53"/>
        <v>35</v>
      </c>
      <c r="AS48" s="76">
        <v>1</v>
      </c>
      <c r="AT48" s="76">
        <v>2</v>
      </c>
      <c r="AU48" s="76">
        <f t="shared" si="59"/>
        <v>1.5</v>
      </c>
      <c r="AV48" s="76">
        <f t="shared" si="133"/>
        <v>1</v>
      </c>
      <c r="AW48" s="76">
        <f t="shared" si="134"/>
        <v>2</v>
      </c>
      <c r="AX48" s="76">
        <f>AU48*($AA$109/$AA$107)</f>
        <v>1.5</v>
      </c>
      <c r="AY48" s="326">
        <v>0.75</v>
      </c>
      <c r="AZ48" s="51">
        <v>0.2</v>
      </c>
      <c r="BA48" s="51">
        <v>0.1</v>
      </c>
      <c r="BB48" s="327" t="s">
        <v>292</v>
      </c>
      <c r="BC48" s="76">
        <f t="shared" si="135"/>
        <v>33.6</v>
      </c>
      <c r="BD48" s="76">
        <f t="shared" si="136"/>
        <v>50.4</v>
      </c>
      <c r="BE48" s="76">
        <f t="shared" si="42"/>
        <v>42</v>
      </c>
      <c r="BF48" s="76">
        <f t="shared" si="137"/>
        <v>1.1000000000000001</v>
      </c>
      <c r="BG48" s="76">
        <f t="shared" si="138"/>
        <v>2.2000000000000002</v>
      </c>
      <c r="BH48" s="76">
        <f t="shared" si="7"/>
        <v>1.6500000000000001</v>
      </c>
      <c r="BI48" s="4">
        <v>20</v>
      </c>
      <c r="BJ48" s="76">
        <f>BE48*0.5</f>
        <v>21</v>
      </c>
      <c r="BK48" s="76">
        <f t="shared" si="8"/>
        <v>21</v>
      </c>
      <c r="BL48" s="111">
        <f t="shared" si="43"/>
        <v>0</v>
      </c>
      <c r="BM48" s="4">
        <f t="shared" si="9"/>
        <v>17.123062500000003</v>
      </c>
      <c r="BN48" s="4">
        <f t="shared" si="57"/>
        <v>7.7670211500000015</v>
      </c>
      <c r="BO48" s="4">
        <f t="shared" si="10"/>
        <v>0.34246125000000005</v>
      </c>
      <c r="BP48" s="4">
        <f t="shared" si="58"/>
        <v>0.15534042300000003</v>
      </c>
      <c r="BQ48" s="324">
        <f>IF($Q48&lt;$W$122,BM48,(BM48-((BM48/$Q48)*($Q48-$W$122))))</f>
        <v>17.123062500000003</v>
      </c>
      <c r="BR48" s="324">
        <f>IF($Q48&lt;$W$122,BN48,(BN48-((BN48/$Q48)*($Q48-$W$122))))</f>
        <v>7.7670211500000015</v>
      </c>
      <c r="BS48" s="324">
        <f>IF($R48&lt;$X$122,BO48,(BO48-((BO48/$R48)*($R48-$X$122))))</f>
        <v>0.34246125000000005</v>
      </c>
      <c r="BT48" s="324">
        <f>IF($R48&lt;$X$122,BP48,(BP48-((BP48/$R48)*($R48-$X$122))))</f>
        <v>0.15534042300000003</v>
      </c>
      <c r="BU48" s="76" t="str">
        <f t="shared" si="15"/>
        <v>N/A</v>
      </c>
      <c r="BV48" s="76" t="s">
        <v>77</v>
      </c>
      <c r="BW48" s="88">
        <f t="shared" si="17"/>
        <v>2.4528322547441492</v>
      </c>
      <c r="BX48" s="89">
        <f t="shared" si="18"/>
        <v>1.2008743801052515</v>
      </c>
      <c r="BY48" s="89">
        <f t="shared" si="19"/>
        <v>3.6537066348494007</v>
      </c>
      <c r="BZ48" s="89">
        <f t="shared" si="20"/>
        <v>5.4074785157498884</v>
      </c>
      <c r="CA48" s="89">
        <f t="shared" si="21"/>
        <v>2.6474302912373266</v>
      </c>
      <c r="CB48" s="89">
        <f t="shared" si="22"/>
        <v>8.0549088069872141</v>
      </c>
      <c r="CC48" s="89">
        <f t="shared" si="23"/>
        <v>122.64161273720748</v>
      </c>
      <c r="CD48" s="89">
        <f t="shared" si="24"/>
        <v>60.043719005262574</v>
      </c>
      <c r="CE48" s="89">
        <f t="shared" si="25"/>
        <v>182.68533174247005</v>
      </c>
      <c r="CF48" s="89">
        <f t="shared" si="26"/>
        <v>270.37392578749444</v>
      </c>
      <c r="CG48" s="89">
        <f t="shared" si="27"/>
        <v>132.37151456186632</v>
      </c>
      <c r="CH48" s="89">
        <f t="shared" si="28"/>
        <v>402.74544034936076</v>
      </c>
      <c r="CI48" s="41">
        <f t="shared" si="110"/>
        <v>46.047478731091459</v>
      </c>
      <c r="CJ48" s="41">
        <f t="shared" si="111"/>
        <v>113.61411364583287</v>
      </c>
      <c r="CK48" s="41">
        <f t="shared" si="112"/>
        <v>2072.1365428991157</v>
      </c>
      <c r="CL48" s="41">
        <f t="shared" si="113"/>
        <v>6816.846818749973</v>
      </c>
      <c r="CM48" s="346">
        <f t="shared" si="29"/>
        <v>2.4528322547441492</v>
      </c>
      <c r="CN48" s="204">
        <f t="shared" si="30"/>
        <v>1.2008743801052515</v>
      </c>
      <c r="CO48" s="204">
        <f t="shared" si="44"/>
        <v>3.6537066348494007</v>
      </c>
      <c r="CP48" s="204">
        <f t="shared" si="31"/>
        <v>5.4074785157498884</v>
      </c>
      <c r="CQ48" s="204">
        <f t="shared" si="32"/>
        <v>2.6474302912373266</v>
      </c>
      <c r="CR48" s="204">
        <f t="shared" si="45"/>
        <v>8.0549088069872141</v>
      </c>
      <c r="CS48" s="204">
        <f t="shared" si="33"/>
        <v>122.64161273720748</v>
      </c>
      <c r="CT48" s="204">
        <f t="shared" si="34"/>
        <v>60.043719005262574</v>
      </c>
      <c r="CU48" s="204">
        <f t="shared" si="46"/>
        <v>182.68533174247005</v>
      </c>
      <c r="CV48" s="204">
        <f t="shared" si="35"/>
        <v>270.37392578749444</v>
      </c>
      <c r="CW48" s="204">
        <f t="shared" si="36"/>
        <v>132.37151456186632</v>
      </c>
      <c r="CX48" s="204">
        <f t="shared" si="47"/>
        <v>402.74544034936076</v>
      </c>
      <c r="CY48" s="286" t="s">
        <v>118</v>
      </c>
      <c r="CZ48" s="285" t="s">
        <v>57</v>
      </c>
      <c r="DA48" s="285" t="s">
        <v>57</v>
      </c>
      <c r="DB48" s="285" t="s">
        <v>334</v>
      </c>
      <c r="DC48" s="285" t="s">
        <v>57</v>
      </c>
      <c r="DD48" s="271" t="s">
        <v>315</v>
      </c>
      <c r="DE48" s="271"/>
      <c r="DF48" s="285" t="s">
        <v>56</v>
      </c>
      <c r="DG48" s="285" t="s">
        <v>56</v>
      </c>
      <c r="DH48" s="285" t="s">
        <v>56</v>
      </c>
      <c r="DI48" s="285" t="s">
        <v>56</v>
      </c>
      <c r="DJ48" s="271" t="s">
        <v>363</v>
      </c>
      <c r="DK48" s="272" t="s">
        <v>358</v>
      </c>
      <c r="DL48" s="271" t="s">
        <v>350</v>
      </c>
      <c r="DM48" s="271" t="s">
        <v>363</v>
      </c>
      <c r="DN48" s="272" t="s">
        <v>481</v>
      </c>
      <c r="DO48" s="520" t="s">
        <v>834</v>
      </c>
      <c r="DP48" s="520"/>
      <c r="DQ48" s="527" t="s">
        <v>892</v>
      </c>
      <c r="DR48" s="531" t="s">
        <v>893</v>
      </c>
      <c r="DS48" s="271"/>
      <c r="DT48" s="106"/>
      <c r="DU48" s="28"/>
      <c r="DV48" s="28"/>
      <c r="DW48" s="28"/>
      <c r="DX48" s="28"/>
      <c r="DY48" s="28"/>
      <c r="DZ48" s="28"/>
      <c r="EA48" s="28"/>
      <c r="EB48" s="28"/>
    </row>
    <row r="49" spans="1:132" ht="215.25" customHeight="1" x14ac:dyDescent="0.2">
      <c r="A49" s="754"/>
      <c r="B49" s="15" t="s">
        <v>272</v>
      </c>
      <c r="C49" s="84"/>
      <c r="D49" s="235">
        <v>503</v>
      </c>
      <c r="E49" s="271" t="s">
        <v>827</v>
      </c>
      <c r="F49" s="272" t="s">
        <v>129</v>
      </c>
      <c r="G49" s="272" t="s">
        <v>77</v>
      </c>
      <c r="H49" s="276" t="s">
        <v>130</v>
      </c>
      <c r="I49" s="275" t="s">
        <v>780</v>
      </c>
      <c r="J49" s="271" t="s">
        <v>273</v>
      </c>
      <c r="K49" s="259" t="s">
        <v>601</v>
      </c>
      <c r="L49" s="272" t="s">
        <v>11</v>
      </c>
      <c r="M49" s="309" t="s">
        <v>77</v>
      </c>
      <c r="N49" s="302" t="s">
        <v>77</v>
      </c>
      <c r="O49" s="11" t="s">
        <v>77</v>
      </c>
      <c r="P49" s="303" t="s">
        <v>77</v>
      </c>
      <c r="Q49" s="139" t="s">
        <v>77</v>
      </c>
      <c r="R49" s="139" t="s">
        <v>77</v>
      </c>
      <c r="S49" s="4">
        <v>0</v>
      </c>
      <c r="T49" s="4">
        <v>0</v>
      </c>
      <c r="U49" s="4">
        <v>0</v>
      </c>
      <c r="V49" s="4">
        <v>0</v>
      </c>
      <c r="W49" s="189" t="s">
        <v>77</v>
      </c>
      <c r="X49" s="51" t="s">
        <v>374</v>
      </c>
      <c r="Y49" s="145">
        <v>0</v>
      </c>
      <c r="Z49" s="145">
        <v>0</v>
      </c>
      <c r="AA49" s="145">
        <f t="shared" si="37"/>
        <v>0</v>
      </c>
      <c r="AB49" s="145">
        <f>Z49*0.4536</f>
        <v>0</v>
      </c>
      <c r="AC49" s="145">
        <f>(AA49+AB49)/2</f>
        <v>0</v>
      </c>
      <c r="AD49" s="145">
        <v>0</v>
      </c>
      <c r="AE49" s="145">
        <v>0</v>
      </c>
      <c r="AF49" s="145">
        <f t="shared" ref="AF49:AG52" si="195">AD49*0.4536</f>
        <v>0</v>
      </c>
      <c r="AG49" s="145">
        <f t="shared" si="195"/>
        <v>0</v>
      </c>
      <c r="AH49" s="76">
        <v>15000</v>
      </c>
      <c r="AI49" s="76">
        <v>35000</v>
      </c>
      <c r="AJ49" s="76">
        <f t="shared" si="48"/>
        <v>25000</v>
      </c>
      <c r="AK49" s="76">
        <f t="shared" si="131"/>
        <v>15000</v>
      </c>
      <c r="AL49" s="76">
        <f t="shared" si="132"/>
        <v>35000</v>
      </c>
      <c r="AM49" s="76">
        <f t="shared" ref="AM49:AM80" si="196">AJ49*($AA$109/$AA$107)</f>
        <v>25000</v>
      </c>
      <c r="AN49" s="104">
        <v>0.25</v>
      </c>
      <c r="AO49" s="76">
        <v>0</v>
      </c>
      <c r="AP49" s="76">
        <f>AK49*(1+$AN$2)</f>
        <v>21000</v>
      </c>
      <c r="AQ49" s="76">
        <f>AL49*(1+$AN$2)</f>
        <v>49000</v>
      </c>
      <c r="AR49" s="76">
        <f t="shared" si="53"/>
        <v>35000</v>
      </c>
      <c r="AS49" s="76">
        <v>3000</v>
      </c>
      <c r="AT49" s="76">
        <v>5000</v>
      </c>
      <c r="AU49" s="76">
        <f t="shared" si="59"/>
        <v>4000</v>
      </c>
      <c r="AV49" s="76">
        <f t="shared" si="133"/>
        <v>3000</v>
      </c>
      <c r="AW49" s="76">
        <f t="shared" si="134"/>
        <v>5000</v>
      </c>
      <c r="AX49" s="76">
        <f t="shared" ref="AX49:AX80" si="197">AU49*($AA$109/$AA$107)</f>
        <v>4000</v>
      </c>
      <c r="AY49" s="326">
        <v>0</v>
      </c>
      <c r="AZ49" s="51">
        <v>0</v>
      </c>
      <c r="BA49" s="51">
        <v>0</v>
      </c>
      <c r="BB49" s="327"/>
      <c r="BC49" s="76">
        <f>AP49*(1+$AZ49)</f>
        <v>21000</v>
      </c>
      <c r="BD49" s="76">
        <f>AQ49*(1+$AZ49)</f>
        <v>49000</v>
      </c>
      <c r="BE49" s="76">
        <f t="shared" si="42"/>
        <v>35000</v>
      </c>
      <c r="BF49" s="76">
        <f>AV49*(1+$BA49)</f>
        <v>3000</v>
      </c>
      <c r="BG49" s="76">
        <f>AW49*(1+$BA49)</f>
        <v>5000</v>
      </c>
      <c r="BH49" s="76">
        <f t="shared" si="7"/>
        <v>4000</v>
      </c>
      <c r="BI49" s="4">
        <v>10</v>
      </c>
      <c r="BJ49" s="76">
        <v>20000</v>
      </c>
      <c r="BK49" s="76">
        <f t="shared" si="8"/>
        <v>40000</v>
      </c>
      <c r="BL49" s="111">
        <f t="shared" si="43"/>
        <v>12278.265070815187</v>
      </c>
      <c r="BM49" s="4" t="s">
        <v>77</v>
      </c>
      <c r="BN49" s="4" t="s">
        <v>77</v>
      </c>
      <c r="BO49" s="4" t="s">
        <v>77</v>
      </c>
      <c r="BP49" s="4" t="s">
        <v>77</v>
      </c>
      <c r="BQ49" s="4" t="s">
        <v>77</v>
      </c>
      <c r="BR49" s="4" t="s">
        <v>77</v>
      </c>
      <c r="BS49" s="4" t="s">
        <v>77</v>
      </c>
      <c r="BT49" s="4" t="s">
        <v>77</v>
      </c>
      <c r="BU49" s="76">
        <f t="shared" ref="BU49:BU74" si="198">IF((Y49+Z49+AD49+AE49=0),(BE49+PV($BY$2,$CB$2,-BH49,0,0)),"N/A")</f>
        <v>84848.841370159935</v>
      </c>
      <c r="BV49" s="76" t="s">
        <v>77</v>
      </c>
      <c r="BW49" s="76" t="s">
        <v>77</v>
      </c>
      <c r="BX49" s="76" t="s">
        <v>77</v>
      </c>
      <c r="BY49" s="76" t="s">
        <v>77</v>
      </c>
      <c r="BZ49" s="76" t="s">
        <v>77</v>
      </c>
      <c r="CA49" s="76" t="s">
        <v>77</v>
      </c>
      <c r="CB49" s="76" t="s">
        <v>77</v>
      </c>
      <c r="CC49" s="76" t="s">
        <v>77</v>
      </c>
      <c r="CD49" s="76" t="s">
        <v>77</v>
      </c>
      <c r="CE49" s="76" t="s">
        <v>77</v>
      </c>
      <c r="CF49" s="76" t="s">
        <v>77</v>
      </c>
      <c r="CG49" s="76" t="s">
        <v>77</v>
      </c>
      <c r="CH49" s="76" t="s">
        <v>77</v>
      </c>
      <c r="CI49" s="41">
        <f t="shared" si="110"/>
        <v>0</v>
      </c>
      <c r="CJ49" s="41">
        <f t="shared" si="111"/>
        <v>0</v>
      </c>
      <c r="CK49" s="41">
        <f t="shared" si="112"/>
        <v>0</v>
      </c>
      <c r="CL49" s="41">
        <f t="shared" si="113"/>
        <v>0</v>
      </c>
      <c r="CM49" s="76" t="s">
        <v>77</v>
      </c>
      <c r="CN49" s="76" t="s">
        <v>77</v>
      </c>
      <c r="CO49" s="76" t="s">
        <v>77</v>
      </c>
      <c r="CP49" s="76" t="s">
        <v>77</v>
      </c>
      <c r="CQ49" s="76" t="s">
        <v>77</v>
      </c>
      <c r="CR49" s="76" t="s">
        <v>77</v>
      </c>
      <c r="CS49" s="76" t="s">
        <v>77</v>
      </c>
      <c r="CT49" s="76" t="s">
        <v>77</v>
      </c>
      <c r="CU49" s="76" t="s">
        <v>77</v>
      </c>
      <c r="CV49" s="76" t="s">
        <v>77</v>
      </c>
      <c r="CW49" s="76" t="s">
        <v>77</v>
      </c>
      <c r="CX49" s="76" t="s">
        <v>77</v>
      </c>
      <c r="CY49" s="286" t="s">
        <v>118</v>
      </c>
      <c r="CZ49" s="285" t="s">
        <v>57</v>
      </c>
      <c r="DA49" s="285" t="s">
        <v>57</v>
      </c>
      <c r="DB49" s="285" t="s">
        <v>334</v>
      </c>
      <c r="DC49" s="285" t="s">
        <v>57</v>
      </c>
      <c r="DD49" s="271" t="s">
        <v>316</v>
      </c>
      <c r="DE49" s="271"/>
      <c r="DF49" s="285" t="s">
        <v>56</v>
      </c>
      <c r="DG49" s="285" t="s">
        <v>56</v>
      </c>
      <c r="DH49" s="285" t="s">
        <v>56</v>
      </c>
      <c r="DI49" s="285" t="s">
        <v>56</v>
      </c>
      <c r="DJ49" s="271" t="s">
        <v>349</v>
      </c>
      <c r="DK49" s="272" t="s">
        <v>351</v>
      </c>
      <c r="DL49" s="271" t="s">
        <v>350</v>
      </c>
      <c r="DM49" s="271"/>
      <c r="DN49" s="271"/>
      <c r="DO49" s="520" t="s">
        <v>834</v>
      </c>
      <c r="DP49" s="519"/>
      <c r="DQ49" s="527" t="s">
        <v>894</v>
      </c>
      <c r="DR49" s="534" t="s">
        <v>895</v>
      </c>
      <c r="DS49" s="271"/>
      <c r="DT49" s="106"/>
      <c r="DU49" s="28"/>
      <c r="DV49" s="28"/>
      <c r="DW49" s="28"/>
      <c r="DX49" s="28"/>
      <c r="DY49" s="28"/>
      <c r="DZ49" s="28"/>
      <c r="EA49" s="28"/>
      <c r="EB49" s="28"/>
    </row>
    <row r="50" spans="1:132" ht="409.5" customHeight="1" x14ac:dyDescent="0.2">
      <c r="A50" s="754"/>
      <c r="B50" s="15" t="s">
        <v>2</v>
      </c>
      <c r="C50" s="84"/>
      <c r="D50" s="235">
        <v>504</v>
      </c>
      <c r="E50" s="271" t="s">
        <v>828</v>
      </c>
      <c r="F50" s="272" t="s">
        <v>129</v>
      </c>
      <c r="G50" s="272" t="s">
        <v>132</v>
      </c>
      <c r="H50" s="276" t="s">
        <v>478</v>
      </c>
      <c r="I50" s="275" t="s">
        <v>461</v>
      </c>
      <c r="J50" s="271" t="s">
        <v>133</v>
      </c>
      <c r="K50" s="259" t="s">
        <v>602</v>
      </c>
      <c r="L50" s="272" t="s">
        <v>9</v>
      </c>
      <c r="M50" s="307">
        <f>N50*25000</f>
        <v>25000</v>
      </c>
      <c r="N50" s="302">
        <v>1</v>
      </c>
      <c r="O50" s="11" t="s">
        <v>77</v>
      </c>
      <c r="P50" s="303" t="s">
        <v>77</v>
      </c>
      <c r="Q50" s="267">
        <v>1</v>
      </c>
      <c r="R50" s="267">
        <v>1</v>
      </c>
      <c r="S50" s="4">
        <v>70</v>
      </c>
      <c r="T50" s="4">
        <v>95</v>
      </c>
      <c r="U50" s="4">
        <v>40</v>
      </c>
      <c r="V50" s="4">
        <v>95</v>
      </c>
      <c r="W50" s="189">
        <f>($Q$53-($Q$53*(($T$53+$S$53)/2)/100)-(Q50-(Q50*((T50+S50)/2)/100)))/($Q$53-($Q$53*(($T$53+$S$53)/2)/100))</f>
        <v>0.99333333333333329</v>
      </c>
      <c r="X50" s="51" t="s">
        <v>374</v>
      </c>
      <c r="Y50" s="145">
        <f>((($Q50)*($S50/100))*(8.34*($M50/1000000)))*365</f>
        <v>53.271749999999997</v>
      </c>
      <c r="Z50" s="145">
        <f>((($Q50)*($T50/100))*(8.34*($M50/1000000)))*365</f>
        <v>72.297375000000002</v>
      </c>
      <c r="AA50" s="145">
        <f t="shared" si="37"/>
        <v>24.164065799999999</v>
      </c>
      <c r="AB50" s="145">
        <f>Z50*0.4536</f>
        <v>32.794089300000003</v>
      </c>
      <c r="AC50" s="145">
        <f>(AA50+AB50)/2</f>
        <v>28.47907755</v>
      </c>
      <c r="AD50" s="145">
        <f>((($R50)*($U50/100))*(8.34*($M50/1000000)))*365</f>
        <v>30.441000000000006</v>
      </c>
      <c r="AE50" s="145">
        <f>((($R50)*($V50/100))*(8.34*($M50/1000000)))*365</f>
        <v>72.297375000000002</v>
      </c>
      <c r="AF50" s="145">
        <f t="shared" si="195"/>
        <v>13.808037600000002</v>
      </c>
      <c r="AG50" s="145">
        <f t="shared" si="195"/>
        <v>32.794089300000003</v>
      </c>
      <c r="AH50" s="76">
        <v>75000</v>
      </c>
      <c r="AI50" s="76">
        <v>125000</v>
      </c>
      <c r="AJ50" s="76">
        <f t="shared" si="48"/>
        <v>100000</v>
      </c>
      <c r="AK50" s="76">
        <f t="shared" si="131"/>
        <v>75000</v>
      </c>
      <c r="AL50" s="76">
        <f t="shared" si="132"/>
        <v>125000</v>
      </c>
      <c r="AM50" s="76">
        <f t="shared" si="196"/>
        <v>100000</v>
      </c>
      <c r="AN50" s="104">
        <v>0.5</v>
      </c>
      <c r="AO50" s="76">
        <f>$AA$121</f>
        <v>250000</v>
      </c>
      <c r="AP50" s="76">
        <f>(AK50*(1+$AN$2))+AO50</f>
        <v>355000</v>
      </c>
      <c r="AQ50" s="76">
        <f>(AL50*(1+$AN$2))+AO50</f>
        <v>425000</v>
      </c>
      <c r="AR50" s="76">
        <f t="shared" si="53"/>
        <v>390000</v>
      </c>
      <c r="AS50" s="76">
        <v>3000</v>
      </c>
      <c r="AT50" s="76">
        <v>8000</v>
      </c>
      <c r="AU50" s="76">
        <f t="shared" si="59"/>
        <v>5500</v>
      </c>
      <c r="AV50" s="76">
        <f t="shared" si="133"/>
        <v>3000</v>
      </c>
      <c r="AW50" s="76">
        <f t="shared" si="134"/>
        <v>8000</v>
      </c>
      <c r="AX50" s="76">
        <f t="shared" si="197"/>
        <v>5500</v>
      </c>
      <c r="AY50" s="326">
        <v>0.75</v>
      </c>
      <c r="AZ50" s="51">
        <v>0.2</v>
      </c>
      <c r="BA50" s="51">
        <v>0</v>
      </c>
      <c r="BB50" s="327" t="s">
        <v>303</v>
      </c>
      <c r="BC50" s="76">
        <f t="shared" ref="BC50:BD52" si="199">AP50*(1+$AZ50)</f>
        <v>426000</v>
      </c>
      <c r="BD50" s="76">
        <f t="shared" si="199"/>
        <v>510000</v>
      </c>
      <c r="BE50" s="76">
        <f t="shared" si="42"/>
        <v>468000</v>
      </c>
      <c r="BF50" s="76">
        <f t="shared" ref="BF50:BG52" si="200">AV50*(1+$BA50)</f>
        <v>3000</v>
      </c>
      <c r="BG50" s="76">
        <f t="shared" si="200"/>
        <v>8000</v>
      </c>
      <c r="BH50" s="76">
        <f t="shared" si="7"/>
        <v>5500</v>
      </c>
      <c r="BI50" s="4">
        <v>20</v>
      </c>
      <c r="BJ50" s="76">
        <f>BE50*0.25</f>
        <v>117000</v>
      </c>
      <c r="BK50" s="76">
        <f t="shared" si="8"/>
        <v>117000</v>
      </c>
      <c r="BL50" s="111">
        <f t="shared" si="43"/>
        <v>0</v>
      </c>
      <c r="BM50" s="4">
        <f>IF((($Y50+$Z50)&gt;0),((($Y50+$Z50)/2)*$CB$2),0)</f>
        <v>1255.6912500000001</v>
      </c>
      <c r="BN50" s="4">
        <f t="shared" si="57"/>
        <v>569.58155099999999</v>
      </c>
      <c r="BO50" s="4">
        <f t="shared" ref="BO50:BO80" si="201">IF((($AD50+$AE50)&gt;0),((($AD50+$AE50)/2)*$CB$2),0)</f>
        <v>1027.38375</v>
      </c>
      <c r="BP50" s="4">
        <f t="shared" si="58"/>
        <v>466.02126899999996</v>
      </c>
      <c r="BQ50" s="324">
        <f>IF($Q50&lt;$W$122,BM50,(BM50-((BM50/$Q50)*($Q50-$W$122))))</f>
        <v>1255.6912500000001</v>
      </c>
      <c r="BR50" s="324">
        <f>IF($Q50&lt;$W$122,BN50,(BN50-((BN50/$Q50)*($Q50-$W$122))))</f>
        <v>569.58155099999999</v>
      </c>
      <c r="BS50" s="324">
        <f t="shared" ref="BS50:BS74" si="202">IF($R50&lt;$X$122,BO50,(BO50-((BO50/$R50)*($R50-$X$122))))</f>
        <v>1027.38375</v>
      </c>
      <c r="BT50" s="324">
        <f t="shared" ref="BT50:BT74" si="203">IF($R50&lt;$X$122,BP50,(BP50-((BP50/$R50)*($R50-$X$122))))</f>
        <v>466.02126899999996</v>
      </c>
      <c r="BU50" s="76" t="str">
        <f t="shared" si="198"/>
        <v>N/A</v>
      </c>
      <c r="BV50" s="76" t="s">
        <v>77</v>
      </c>
      <c r="BW50" s="88">
        <f t="shared" si="17"/>
        <v>372.70308286372148</v>
      </c>
      <c r="BX50" s="89">
        <f t="shared" si="18"/>
        <v>54.585199095693241</v>
      </c>
      <c r="BY50" s="89">
        <f t="shared" si="19"/>
        <v>427.28828195941469</v>
      </c>
      <c r="BZ50" s="89">
        <f t="shared" si="20"/>
        <v>821.65582641913909</v>
      </c>
      <c r="CA50" s="89">
        <f t="shared" si="21"/>
        <v>120.33774051078757</v>
      </c>
      <c r="CB50" s="89">
        <f t="shared" si="22"/>
        <v>941.9935669299266</v>
      </c>
      <c r="CC50" s="89">
        <f t="shared" si="23"/>
        <v>455.52599016677073</v>
      </c>
      <c r="CD50" s="89">
        <f t="shared" si="24"/>
        <v>66.715243339180631</v>
      </c>
      <c r="CE50" s="89">
        <f t="shared" si="25"/>
        <v>522.24123350595141</v>
      </c>
      <c r="CF50" s="89">
        <f t="shared" si="26"/>
        <v>1004.2460100678367</v>
      </c>
      <c r="CG50" s="89">
        <f t="shared" si="27"/>
        <v>147.07946062429593</v>
      </c>
      <c r="CH50" s="89">
        <f t="shared" si="28"/>
        <v>1151.3254706921325</v>
      </c>
      <c r="CI50" s="41">
        <f t="shared" si="110"/>
        <v>6409.4530545212729</v>
      </c>
      <c r="CJ50" s="41">
        <f t="shared" si="111"/>
        <v>11445.047004093538</v>
      </c>
      <c r="CK50" s="41">
        <f t="shared" si="112"/>
        <v>6409.4530545212729</v>
      </c>
      <c r="CL50" s="41">
        <f t="shared" si="113"/>
        <v>20028.832257163685</v>
      </c>
      <c r="CM50" s="346">
        <f t="shared" si="29"/>
        <v>372.70308286372148</v>
      </c>
      <c r="CN50" s="204">
        <f t="shared" si="30"/>
        <v>54.585199095693241</v>
      </c>
      <c r="CO50" s="204">
        <f t="shared" si="44"/>
        <v>427.28828195941469</v>
      </c>
      <c r="CP50" s="204">
        <f t="shared" si="31"/>
        <v>821.65582641913909</v>
      </c>
      <c r="CQ50" s="204">
        <f t="shared" si="32"/>
        <v>120.33774051078757</v>
      </c>
      <c r="CR50" s="204">
        <f t="shared" si="45"/>
        <v>941.9935669299266</v>
      </c>
      <c r="CS50" s="204">
        <f t="shared" si="33"/>
        <v>455.52599016677073</v>
      </c>
      <c r="CT50" s="204">
        <f t="shared" si="34"/>
        <v>66.715243339180631</v>
      </c>
      <c r="CU50" s="204">
        <f t="shared" si="46"/>
        <v>522.24123350595141</v>
      </c>
      <c r="CV50" s="204">
        <f t="shared" si="35"/>
        <v>1004.2460100678367</v>
      </c>
      <c r="CW50" s="204">
        <f t="shared" si="36"/>
        <v>147.07946062429593</v>
      </c>
      <c r="CX50" s="204">
        <f t="shared" si="47"/>
        <v>1151.3254706921325</v>
      </c>
      <c r="CY50" s="286" t="s">
        <v>118</v>
      </c>
      <c r="CZ50" s="285" t="s">
        <v>57</v>
      </c>
      <c r="DA50" s="285" t="s">
        <v>57</v>
      </c>
      <c r="DB50" s="285" t="s">
        <v>335</v>
      </c>
      <c r="DC50" s="285" t="s">
        <v>57</v>
      </c>
      <c r="DD50" s="271" t="s">
        <v>317</v>
      </c>
      <c r="DE50" s="271" t="s">
        <v>254</v>
      </c>
      <c r="DF50" s="285" t="s">
        <v>56</v>
      </c>
      <c r="DG50" s="285" t="s">
        <v>56</v>
      </c>
      <c r="DH50" s="285" t="s">
        <v>56</v>
      </c>
      <c r="DI50" s="285" t="s">
        <v>56</v>
      </c>
      <c r="DJ50" s="271" t="s">
        <v>363</v>
      </c>
      <c r="DK50" s="272" t="s">
        <v>358</v>
      </c>
      <c r="DL50" s="272" t="s">
        <v>350</v>
      </c>
      <c r="DM50" s="271" t="s">
        <v>363</v>
      </c>
      <c r="DN50" s="272" t="s">
        <v>481</v>
      </c>
      <c r="DO50" s="520" t="s">
        <v>834</v>
      </c>
      <c r="DP50" s="520"/>
      <c r="DQ50" s="527" t="s">
        <v>896</v>
      </c>
      <c r="DR50" s="531" t="s">
        <v>134</v>
      </c>
      <c r="DS50" s="271" t="s">
        <v>135</v>
      </c>
      <c r="DT50" s="106"/>
      <c r="DU50" s="28"/>
      <c r="DV50" s="28"/>
      <c r="DW50" s="28"/>
      <c r="DX50" s="28"/>
      <c r="DY50" s="28"/>
      <c r="DZ50" s="28"/>
      <c r="EA50" s="28"/>
      <c r="EB50" s="28"/>
    </row>
    <row r="51" spans="1:132" ht="409.5" customHeight="1" x14ac:dyDescent="0.2">
      <c r="A51" s="754"/>
      <c r="B51" s="15" t="s">
        <v>282</v>
      </c>
      <c r="C51" s="84"/>
      <c r="D51" s="235">
        <v>505</v>
      </c>
      <c r="E51" s="271" t="s">
        <v>816</v>
      </c>
      <c r="F51" s="272" t="s">
        <v>319</v>
      </c>
      <c r="G51" s="272" t="s">
        <v>132</v>
      </c>
      <c r="H51" s="276" t="s">
        <v>320</v>
      </c>
      <c r="I51" s="275" t="s">
        <v>780</v>
      </c>
      <c r="J51" s="271" t="s">
        <v>325</v>
      </c>
      <c r="K51" s="259" t="s">
        <v>625</v>
      </c>
      <c r="L51" s="272" t="s">
        <v>343</v>
      </c>
      <c r="M51" s="307">
        <v>0</v>
      </c>
      <c r="N51" s="302" t="s">
        <v>77</v>
      </c>
      <c r="O51" s="11" t="s">
        <v>77</v>
      </c>
      <c r="P51" s="303" t="s">
        <v>77</v>
      </c>
      <c r="Q51" s="139" t="s">
        <v>77</v>
      </c>
      <c r="R51" s="307">
        <v>1</v>
      </c>
      <c r="S51" s="302" t="s">
        <v>77</v>
      </c>
      <c r="T51" s="11" t="s">
        <v>77</v>
      </c>
      <c r="U51" s="317">
        <v>75</v>
      </c>
      <c r="V51" s="351">
        <v>90</v>
      </c>
      <c r="W51" s="139" t="s">
        <v>77</v>
      </c>
      <c r="X51" s="51" t="s">
        <v>374</v>
      </c>
      <c r="Y51" s="265" t="s">
        <v>77</v>
      </c>
      <c r="Z51" s="265" t="s">
        <v>77</v>
      </c>
      <c r="AA51" s="265" t="s">
        <v>77</v>
      </c>
      <c r="AB51" s="265" t="s">
        <v>77</v>
      </c>
      <c r="AC51" s="145" t="s">
        <v>77</v>
      </c>
      <c r="AD51" s="145">
        <f>((($R51)*($U51/100))*(8.34*($M51/1000000)))*365</f>
        <v>0</v>
      </c>
      <c r="AE51" s="145">
        <f>((($R51)*($V51/100))*(8.34*($M51/1000000)))*365</f>
        <v>0</v>
      </c>
      <c r="AF51" s="145">
        <f t="shared" si="195"/>
        <v>0</v>
      </c>
      <c r="AG51" s="145">
        <f t="shared" si="195"/>
        <v>0</v>
      </c>
      <c r="AH51" s="318">
        <v>0</v>
      </c>
      <c r="AI51" s="318">
        <v>0</v>
      </c>
      <c r="AJ51" s="76">
        <f t="shared" si="48"/>
        <v>0</v>
      </c>
      <c r="AK51" s="111">
        <f t="shared" si="131"/>
        <v>0</v>
      </c>
      <c r="AL51" s="111">
        <f t="shared" si="132"/>
        <v>0</v>
      </c>
      <c r="AM51" s="76">
        <f t="shared" si="196"/>
        <v>0</v>
      </c>
      <c r="AN51" s="104">
        <v>0</v>
      </c>
      <c r="AO51" s="104"/>
      <c r="AP51" s="111">
        <f>AK51*(1+$AN$2)</f>
        <v>0</v>
      </c>
      <c r="AQ51" s="111">
        <f>AL51*(1+$AN$2)</f>
        <v>0</v>
      </c>
      <c r="AR51" s="76">
        <f t="shared" si="53"/>
        <v>0</v>
      </c>
      <c r="AS51" s="318">
        <v>0</v>
      </c>
      <c r="AT51" s="318">
        <v>0</v>
      </c>
      <c r="AU51" s="76">
        <v>0</v>
      </c>
      <c r="AV51" s="76">
        <f t="shared" si="133"/>
        <v>0</v>
      </c>
      <c r="AW51" s="76">
        <f t="shared" si="134"/>
        <v>0</v>
      </c>
      <c r="AX51" s="76">
        <f t="shared" si="197"/>
        <v>0</v>
      </c>
      <c r="AY51" s="326">
        <v>0</v>
      </c>
      <c r="AZ51" s="51">
        <v>0</v>
      </c>
      <c r="BA51" s="51">
        <v>0</v>
      </c>
      <c r="BB51" s="327"/>
      <c r="BC51" s="76">
        <f t="shared" si="199"/>
        <v>0</v>
      </c>
      <c r="BD51" s="76">
        <f t="shared" si="199"/>
        <v>0</v>
      </c>
      <c r="BE51" s="76">
        <f t="shared" si="42"/>
        <v>0</v>
      </c>
      <c r="BF51" s="76">
        <f t="shared" si="200"/>
        <v>0</v>
      </c>
      <c r="BG51" s="76">
        <f t="shared" si="200"/>
        <v>0</v>
      </c>
      <c r="BH51" s="76">
        <f t="shared" si="7"/>
        <v>0</v>
      </c>
      <c r="BI51" s="4">
        <v>5</v>
      </c>
      <c r="BJ51" s="76">
        <v>0</v>
      </c>
      <c r="BK51" s="76">
        <f t="shared" ref="BK51:BK83" si="204">IF(($CB$2/BI51)&gt;0,((($CB$2/BI51))*BJ51),0)</f>
        <v>0</v>
      </c>
      <c r="BL51" s="111">
        <f t="shared" si="43"/>
        <v>0</v>
      </c>
      <c r="BM51" s="4" t="s">
        <v>77</v>
      </c>
      <c r="BN51" s="4" t="s">
        <v>77</v>
      </c>
      <c r="BO51" s="4">
        <f t="shared" si="201"/>
        <v>0</v>
      </c>
      <c r="BP51" s="4">
        <f t="shared" si="58"/>
        <v>0</v>
      </c>
      <c r="BQ51" s="324" t="s">
        <v>77</v>
      </c>
      <c r="BR51" s="324" t="s">
        <v>77</v>
      </c>
      <c r="BS51" s="324">
        <f t="shared" si="202"/>
        <v>0</v>
      </c>
      <c r="BT51" s="324">
        <f t="shared" si="203"/>
        <v>0</v>
      </c>
      <c r="BU51" s="324" t="s">
        <v>77</v>
      </c>
      <c r="BV51" s="76" t="s">
        <v>77</v>
      </c>
      <c r="BW51" s="324" t="s">
        <v>77</v>
      </c>
      <c r="BX51" s="324" t="s">
        <v>77</v>
      </c>
      <c r="BY51" s="324" t="s">
        <v>77</v>
      </c>
      <c r="BZ51" s="324" t="s">
        <v>77</v>
      </c>
      <c r="CA51" s="324" t="s">
        <v>77</v>
      </c>
      <c r="CB51" s="324" t="s">
        <v>77</v>
      </c>
      <c r="CC51" s="89">
        <f t="shared" si="23"/>
        <v>0</v>
      </c>
      <c r="CD51" s="89">
        <f t="shared" si="24"/>
        <v>0</v>
      </c>
      <c r="CE51" s="89">
        <f t="shared" si="25"/>
        <v>0</v>
      </c>
      <c r="CF51" s="89">
        <f t="shared" si="26"/>
        <v>0</v>
      </c>
      <c r="CG51" s="89">
        <f t="shared" si="27"/>
        <v>0</v>
      </c>
      <c r="CH51" s="89">
        <f t="shared" si="28"/>
        <v>0</v>
      </c>
      <c r="CI51" s="41" t="e">
        <f t="shared" si="110"/>
        <v>#VALUE!</v>
      </c>
      <c r="CJ51" s="41" t="e">
        <f t="shared" si="111"/>
        <v>#VALUE!</v>
      </c>
      <c r="CK51" s="41">
        <f t="shared" si="112"/>
        <v>0</v>
      </c>
      <c r="CL51" s="41">
        <f t="shared" si="113"/>
        <v>0</v>
      </c>
      <c r="CM51" s="324" t="s">
        <v>77</v>
      </c>
      <c r="CN51" s="324" t="s">
        <v>77</v>
      </c>
      <c r="CO51" s="324" t="s">
        <v>77</v>
      </c>
      <c r="CP51" s="324" t="s">
        <v>77</v>
      </c>
      <c r="CQ51" s="324" t="s">
        <v>77</v>
      </c>
      <c r="CR51" s="324" t="s">
        <v>77</v>
      </c>
      <c r="CS51" s="204">
        <f t="shared" si="33"/>
        <v>0</v>
      </c>
      <c r="CT51" s="204">
        <f t="shared" si="34"/>
        <v>0</v>
      </c>
      <c r="CU51" s="204">
        <f t="shared" si="46"/>
        <v>0</v>
      </c>
      <c r="CV51" s="204">
        <f t="shared" si="35"/>
        <v>0</v>
      </c>
      <c r="CW51" s="204">
        <f t="shared" si="36"/>
        <v>0</v>
      </c>
      <c r="CX51" s="204">
        <f t="shared" si="47"/>
        <v>0</v>
      </c>
      <c r="CY51" s="286" t="s">
        <v>118</v>
      </c>
      <c r="CZ51" s="285" t="s">
        <v>57</v>
      </c>
      <c r="DA51" s="285" t="s">
        <v>57</v>
      </c>
      <c r="DB51" s="285" t="s">
        <v>336</v>
      </c>
      <c r="DC51" s="285" t="s">
        <v>57</v>
      </c>
      <c r="DD51" s="271" t="s">
        <v>329</v>
      </c>
      <c r="DE51" s="271" t="s">
        <v>321</v>
      </c>
      <c r="DF51" s="285" t="s">
        <v>56</v>
      </c>
      <c r="DG51" s="285" t="s">
        <v>57</v>
      </c>
      <c r="DH51" s="285" t="s">
        <v>57</v>
      </c>
      <c r="DI51" s="285" t="s">
        <v>57</v>
      </c>
      <c r="DJ51" s="271" t="s">
        <v>349</v>
      </c>
      <c r="DK51" s="272" t="s">
        <v>351</v>
      </c>
      <c r="DL51" s="271" t="s">
        <v>350</v>
      </c>
      <c r="DM51" s="271"/>
      <c r="DN51" s="271"/>
      <c r="DO51" s="520" t="s">
        <v>834</v>
      </c>
      <c r="DP51" s="519"/>
      <c r="DQ51" s="527" t="s">
        <v>897</v>
      </c>
      <c r="DR51" s="531" t="s">
        <v>454</v>
      </c>
      <c r="DS51" s="271"/>
      <c r="DT51" s="106"/>
      <c r="DU51" s="28"/>
      <c r="DV51" s="28"/>
      <c r="DW51" s="28"/>
      <c r="DX51" s="28"/>
      <c r="DY51" s="28"/>
      <c r="DZ51" s="28"/>
      <c r="EA51" s="28"/>
      <c r="EB51" s="28"/>
    </row>
    <row r="52" spans="1:132" ht="409.5" customHeight="1" x14ac:dyDescent="0.2">
      <c r="A52" s="754"/>
      <c r="B52" s="15" t="s">
        <v>3</v>
      </c>
      <c r="C52" s="84"/>
      <c r="D52" s="235">
        <v>506</v>
      </c>
      <c r="E52" s="271" t="s">
        <v>829</v>
      </c>
      <c r="F52" s="272" t="s">
        <v>136</v>
      </c>
      <c r="G52" s="272" t="s">
        <v>137</v>
      </c>
      <c r="H52" s="276" t="s">
        <v>130</v>
      </c>
      <c r="I52" s="275" t="s">
        <v>775</v>
      </c>
      <c r="J52" s="271" t="s">
        <v>138</v>
      </c>
      <c r="K52" s="259" t="s">
        <v>626</v>
      </c>
      <c r="L52" s="272" t="s">
        <v>26</v>
      </c>
      <c r="M52" s="307">
        <v>500</v>
      </c>
      <c r="N52" s="302" t="s">
        <v>77</v>
      </c>
      <c r="O52" s="319">
        <v>1</v>
      </c>
      <c r="P52" s="303" t="s">
        <v>77</v>
      </c>
      <c r="Q52" s="307">
        <v>5</v>
      </c>
      <c r="R52" s="307">
        <v>5</v>
      </c>
      <c r="S52" s="303">
        <v>80</v>
      </c>
      <c r="T52" s="303">
        <v>95</v>
      </c>
      <c r="U52" s="303">
        <v>80</v>
      </c>
      <c r="V52" s="303">
        <v>95</v>
      </c>
      <c r="W52" s="303" t="s">
        <v>77</v>
      </c>
      <c r="X52" s="51" t="s">
        <v>374</v>
      </c>
      <c r="Y52" s="145">
        <f t="shared" ref="Y52:Y80" si="205">((($Q52)*($S52/100))*(8.34*($M52/1000000)))*365</f>
        <v>6.0882000000000005</v>
      </c>
      <c r="Z52" s="145">
        <f t="shared" ref="Z52:Z80" si="206">((($Q52)*($T52/100))*(8.34*($M52/1000000)))*365</f>
        <v>7.2297374999999997</v>
      </c>
      <c r="AA52" s="145">
        <f t="shared" ref="AA52:AA80" si="207">Y52*0.4536</f>
        <v>2.7616075200000001</v>
      </c>
      <c r="AB52" s="145">
        <f>Z52*0.4536</f>
        <v>3.2794089299999998</v>
      </c>
      <c r="AC52" s="145">
        <f>(AA52+AB52)/2</f>
        <v>3.0205082249999999</v>
      </c>
      <c r="AD52" s="145">
        <f t="shared" ref="AD52:AD80" si="208">((($R52)*($U52/100))*(8.34*($M52/1000000)))*365</f>
        <v>6.0882000000000005</v>
      </c>
      <c r="AE52" s="145">
        <f t="shared" ref="AE52:AE80" si="209">((($R52)*($V52/100))*(8.34*($M52/1000000)))*365</f>
        <v>7.2297374999999997</v>
      </c>
      <c r="AF52" s="145">
        <f t="shared" si="195"/>
        <v>2.7616075200000001</v>
      </c>
      <c r="AG52" s="145">
        <f t="shared" si="195"/>
        <v>3.2794089299999998</v>
      </c>
      <c r="AH52" s="76">
        <v>125</v>
      </c>
      <c r="AI52" s="76">
        <v>150</v>
      </c>
      <c r="AJ52" s="76">
        <f t="shared" si="48"/>
        <v>137.5</v>
      </c>
      <c r="AK52" s="76">
        <f t="shared" si="131"/>
        <v>125</v>
      </c>
      <c r="AL52" s="76">
        <f t="shared" si="132"/>
        <v>150</v>
      </c>
      <c r="AM52" s="76">
        <f t="shared" si="196"/>
        <v>137.5</v>
      </c>
      <c r="AN52" s="104">
        <v>0.6</v>
      </c>
      <c r="AO52" s="76">
        <v>0</v>
      </c>
      <c r="AP52" s="76">
        <f>(AK52*(1+$AN$2))+AO52</f>
        <v>175</v>
      </c>
      <c r="AQ52" s="76">
        <f>(AL52*(1+$AN$2))+AO52</f>
        <v>210</v>
      </c>
      <c r="AR52" s="76">
        <f t="shared" si="53"/>
        <v>192.5</v>
      </c>
      <c r="AS52" s="76">
        <v>5</v>
      </c>
      <c r="AT52" s="76">
        <v>10</v>
      </c>
      <c r="AU52" s="76">
        <f t="shared" si="59"/>
        <v>7.5</v>
      </c>
      <c r="AV52" s="76">
        <f t="shared" si="133"/>
        <v>5</v>
      </c>
      <c r="AW52" s="76">
        <f t="shared" si="134"/>
        <v>10</v>
      </c>
      <c r="AX52" s="76">
        <f t="shared" si="197"/>
        <v>7.5</v>
      </c>
      <c r="AY52" s="326">
        <v>0.75</v>
      </c>
      <c r="AZ52" s="51">
        <v>0.2</v>
      </c>
      <c r="BA52" s="51">
        <v>0.1</v>
      </c>
      <c r="BB52" s="327" t="s">
        <v>296</v>
      </c>
      <c r="BC52" s="76">
        <f t="shared" si="199"/>
        <v>210</v>
      </c>
      <c r="BD52" s="76">
        <f t="shared" si="199"/>
        <v>252</v>
      </c>
      <c r="BE52" s="76">
        <f t="shared" si="42"/>
        <v>231</v>
      </c>
      <c r="BF52" s="76">
        <f t="shared" si="200"/>
        <v>5.5</v>
      </c>
      <c r="BG52" s="76">
        <f t="shared" si="200"/>
        <v>11</v>
      </c>
      <c r="BH52" s="76">
        <f t="shared" si="7"/>
        <v>8.25</v>
      </c>
      <c r="BI52" s="4">
        <v>25</v>
      </c>
      <c r="BJ52" s="76">
        <f>BE52</f>
        <v>231</v>
      </c>
      <c r="BK52" s="76">
        <f t="shared" si="204"/>
        <v>184.8</v>
      </c>
      <c r="BL52" s="111">
        <f t="shared" si="43"/>
        <v>-231.00000000000003</v>
      </c>
      <c r="BM52" s="4">
        <f t="shared" ref="BM52:BM80" si="210">IF((($Y52+$Z52)&gt;0),((($Y52+$Z52)/2)*$CB$2),0)</f>
        <v>133.17937499999999</v>
      </c>
      <c r="BN52" s="4">
        <f t="shared" si="57"/>
        <v>60.4101645</v>
      </c>
      <c r="BO52" s="4">
        <f t="shared" si="201"/>
        <v>133.17937499999999</v>
      </c>
      <c r="BP52" s="4">
        <f t="shared" si="58"/>
        <v>60.4101645</v>
      </c>
      <c r="BQ52" s="324">
        <f t="shared" ref="BQ52:BQ74" si="211">IF($Q52&lt;$W$122,BM52,(BM52-((BM52/$Q52)*($Q52-$W$122))))</f>
        <v>133.17937499999999</v>
      </c>
      <c r="BR52" s="324">
        <f t="shared" ref="BR52:BR74" si="212">IF($Q52&lt;$W$122,BN52,(BN52-((BN52/$Q52)*($Q52-$W$122))))</f>
        <v>60.4101645</v>
      </c>
      <c r="BS52" s="324">
        <f t="shared" si="202"/>
        <v>133.17937499999999</v>
      </c>
      <c r="BT52" s="324">
        <f t="shared" si="203"/>
        <v>60.4101645</v>
      </c>
      <c r="BU52" s="76" t="str">
        <f t="shared" si="198"/>
        <v>N/A</v>
      </c>
      <c r="BV52" s="111" t="s">
        <v>77</v>
      </c>
      <c r="BW52" s="88">
        <f t="shared" si="17"/>
        <v>-2.1340924171181918E-16</v>
      </c>
      <c r="BX52" s="89">
        <f t="shared" si="18"/>
        <v>0.7719906729248045</v>
      </c>
      <c r="BY52" s="89">
        <f t="shared" si="19"/>
        <v>0.77199067292480428</v>
      </c>
      <c r="BZ52" s="89">
        <f t="shared" si="20"/>
        <v>-4.7047892793610933E-16</v>
      </c>
      <c r="CA52" s="89">
        <f t="shared" si="21"/>
        <v>1.7019194729382814</v>
      </c>
      <c r="CB52" s="89">
        <f t="shared" si="22"/>
        <v>1.7019194729382809</v>
      </c>
      <c r="CC52" s="89">
        <f t="shared" si="23"/>
        <v>-2.1340924171181918E-16</v>
      </c>
      <c r="CD52" s="89">
        <f t="shared" si="24"/>
        <v>0.7719906729248045</v>
      </c>
      <c r="CE52" s="89">
        <f t="shared" si="25"/>
        <v>0.77199067292480428</v>
      </c>
      <c r="CF52" s="89">
        <f t="shared" si="26"/>
        <v>-4.7047892793610933E-16</v>
      </c>
      <c r="CG52" s="89">
        <f t="shared" si="27"/>
        <v>1.7019194729382814</v>
      </c>
      <c r="CH52" s="89">
        <f t="shared" si="28"/>
        <v>1.7019194729382809</v>
      </c>
      <c r="CI52" s="41">
        <f t="shared" si="110"/>
        <v>38.527284964906393</v>
      </c>
      <c r="CJ52" s="41">
        <f t="shared" si="111"/>
        <v>63.907938925780996</v>
      </c>
      <c r="CK52" s="41">
        <f t="shared" si="112"/>
        <v>38.527284964906393</v>
      </c>
      <c r="CL52" s="41">
        <f t="shared" si="113"/>
        <v>63.907938925780996</v>
      </c>
      <c r="CM52" s="346">
        <f t="shared" si="29"/>
        <v>-2.1340924171181918E-16</v>
      </c>
      <c r="CN52" s="204">
        <f t="shared" si="30"/>
        <v>0.7719906729248045</v>
      </c>
      <c r="CO52" s="204">
        <f t="shared" si="44"/>
        <v>0.77199067292480428</v>
      </c>
      <c r="CP52" s="204">
        <f t="shared" si="31"/>
        <v>-4.7047892793610933E-16</v>
      </c>
      <c r="CQ52" s="204">
        <f t="shared" si="32"/>
        <v>1.7019194729382814</v>
      </c>
      <c r="CR52" s="204">
        <f t="shared" si="45"/>
        <v>1.7019194729382809</v>
      </c>
      <c r="CS52" s="204">
        <f t="shared" si="33"/>
        <v>-2.1340924171181918E-16</v>
      </c>
      <c r="CT52" s="204">
        <f t="shared" si="34"/>
        <v>0.7719906729248045</v>
      </c>
      <c r="CU52" s="204">
        <f t="shared" si="46"/>
        <v>0.77199067292480428</v>
      </c>
      <c r="CV52" s="204">
        <f t="shared" si="35"/>
        <v>-4.7047892793610933E-16</v>
      </c>
      <c r="CW52" s="204">
        <f t="shared" si="36"/>
        <v>1.7019194729382814</v>
      </c>
      <c r="CX52" s="204">
        <f t="shared" si="47"/>
        <v>1.7019194729382809</v>
      </c>
      <c r="CY52" s="286" t="s">
        <v>118</v>
      </c>
      <c r="CZ52" s="285" t="s">
        <v>57</v>
      </c>
      <c r="DA52" s="285" t="s">
        <v>57</v>
      </c>
      <c r="DB52" s="285" t="s">
        <v>336</v>
      </c>
      <c r="DC52" s="285" t="s">
        <v>57</v>
      </c>
      <c r="DD52" s="271" t="s">
        <v>139</v>
      </c>
      <c r="DE52" s="271" t="s">
        <v>255</v>
      </c>
      <c r="DF52" s="285" t="s">
        <v>56</v>
      </c>
      <c r="DG52" s="285" t="s">
        <v>56</v>
      </c>
      <c r="DH52" s="285" t="s">
        <v>57</v>
      </c>
      <c r="DI52" s="285" t="s">
        <v>56</v>
      </c>
      <c r="DJ52" s="271" t="s">
        <v>367</v>
      </c>
      <c r="DK52" s="272" t="s">
        <v>351</v>
      </c>
      <c r="DL52" s="271" t="s">
        <v>350</v>
      </c>
      <c r="DM52" s="271" t="s">
        <v>367</v>
      </c>
      <c r="DN52" s="272" t="s">
        <v>481</v>
      </c>
      <c r="DO52" s="520" t="s">
        <v>834</v>
      </c>
      <c r="DP52" s="520"/>
      <c r="DQ52" s="84" t="s">
        <v>898</v>
      </c>
      <c r="DR52" s="531" t="s">
        <v>891</v>
      </c>
      <c r="DS52" s="271" t="s">
        <v>455</v>
      </c>
      <c r="DT52" s="106"/>
      <c r="DU52" s="28"/>
      <c r="DV52" s="28"/>
      <c r="DW52" s="28"/>
      <c r="DX52" s="28"/>
      <c r="DY52" s="28"/>
      <c r="DZ52" s="28"/>
      <c r="EA52" s="28"/>
      <c r="EB52" s="28"/>
    </row>
    <row r="53" spans="1:132" ht="126.75" customHeight="1" x14ac:dyDescent="0.2">
      <c r="A53" s="762" t="s">
        <v>422</v>
      </c>
      <c r="B53" s="282" t="s">
        <v>278</v>
      </c>
      <c r="C53" s="84"/>
      <c r="D53" s="235">
        <v>600</v>
      </c>
      <c r="E53" s="271" t="s">
        <v>807</v>
      </c>
      <c r="F53" s="272" t="s">
        <v>102</v>
      </c>
      <c r="G53" s="272" t="s">
        <v>103</v>
      </c>
      <c r="H53" s="276" t="s">
        <v>130</v>
      </c>
      <c r="I53" s="275" t="s">
        <v>781</v>
      </c>
      <c r="J53" s="271" t="s">
        <v>330</v>
      </c>
      <c r="K53" s="259" t="s">
        <v>603</v>
      </c>
      <c r="L53" s="272" t="s">
        <v>11</v>
      </c>
      <c r="M53" s="307">
        <v>160</v>
      </c>
      <c r="N53" s="11" t="s">
        <v>77</v>
      </c>
      <c r="O53" s="11" t="s">
        <v>77</v>
      </c>
      <c r="P53" s="303">
        <f t="shared" ref="P53:P61" si="213">M53/$P$2</f>
        <v>1</v>
      </c>
      <c r="Q53" s="141">
        <f>$W$122</f>
        <v>26.25</v>
      </c>
      <c r="R53" s="139">
        <f>$X$122</f>
        <v>6</v>
      </c>
      <c r="S53" s="591">
        <v>0</v>
      </c>
      <c r="T53" s="591">
        <v>0</v>
      </c>
      <c r="U53" s="591">
        <v>0</v>
      </c>
      <c r="V53" s="591">
        <v>0</v>
      </c>
      <c r="W53" s="189">
        <f t="shared" ref="W53:W61" si="214">($Q$53-($Q$53*(($T$53+$S$53)/2)/100)-(Q53-(Q53*((T53+S53)/2)/100)))/($Q$53-($Q$53*(($T$53+$S$53)/2)/100))</f>
        <v>0</v>
      </c>
      <c r="X53" s="51" t="s">
        <v>376</v>
      </c>
      <c r="Y53" s="145">
        <f t="shared" si="205"/>
        <v>0</v>
      </c>
      <c r="Z53" s="145">
        <f t="shared" si="206"/>
        <v>0</v>
      </c>
      <c r="AA53" s="145">
        <f t="shared" si="207"/>
        <v>0</v>
      </c>
      <c r="AB53" s="145">
        <f t="shared" ref="AB53:AB79" si="215">Z53*0.4536</f>
        <v>0</v>
      </c>
      <c r="AC53" s="145">
        <f t="shared" ref="AC53:AC79" si="216">(AA53+AB53)/2</f>
        <v>0</v>
      </c>
      <c r="AD53" s="145">
        <f t="shared" si="208"/>
        <v>0</v>
      </c>
      <c r="AE53" s="145">
        <f t="shared" si="209"/>
        <v>0</v>
      </c>
      <c r="AF53" s="145">
        <f t="shared" ref="AF53:AF79" si="217">AD53*0.4536</f>
        <v>0</v>
      </c>
      <c r="AG53" s="145">
        <f t="shared" ref="AG53:AG79" si="218">AE53*0.4536</f>
        <v>0</v>
      </c>
      <c r="AH53" s="76">
        <v>8000</v>
      </c>
      <c r="AI53" s="76">
        <v>15000</v>
      </c>
      <c r="AJ53" s="76">
        <f t="shared" si="48"/>
        <v>11500</v>
      </c>
      <c r="AK53" s="76">
        <f t="shared" si="131"/>
        <v>8000</v>
      </c>
      <c r="AL53" s="76">
        <f t="shared" si="132"/>
        <v>15000</v>
      </c>
      <c r="AM53" s="76">
        <f t="shared" si="196"/>
        <v>11500</v>
      </c>
      <c r="AN53" s="104">
        <v>0.45</v>
      </c>
      <c r="AO53" s="76">
        <v>0</v>
      </c>
      <c r="AP53" s="76">
        <f>(AK53*(1+$AN$2))+AO53</f>
        <v>11200</v>
      </c>
      <c r="AQ53" s="76">
        <f>(AL53*(1+$AN$2))+AO53</f>
        <v>21000</v>
      </c>
      <c r="AR53" s="76">
        <f t="shared" si="53"/>
        <v>16100</v>
      </c>
      <c r="AS53" s="76">
        <v>125</v>
      </c>
      <c r="AT53" s="76">
        <v>175</v>
      </c>
      <c r="AU53" s="76">
        <f t="shared" si="59"/>
        <v>150</v>
      </c>
      <c r="AV53" s="76">
        <f t="shared" si="133"/>
        <v>125</v>
      </c>
      <c r="AW53" s="76">
        <f t="shared" si="134"/>
        <v>175</v>
      </c>
      <c r="AX53" s="76">
        <f t="shared" si="197"/>
        <v>150</v>
      </c>
      <c r="AY53" s="51">
        <v>0</v>
      </c>
      <c r="AZ53" s="51">
        <v>-0.2</v>
      </c>
      <c r="BA53" s="51">
        <v>0.1</v>
      </c>
      <c r="BB53" s="327" t="s">
        <v>302</v>
      </c>
      <c r="BC53" s="76">
        <f t="shared" ref="BC53:BD55" si="219">AP53*(1+$AZ53)</f>
        <v>8960</v>
      </c>
      <c r="BD53" s="76">
        <f t="shared" si="219"/>
        <v>16800</v>
      </c>
      <c r="BE53" s="76">
        <f t="shared" si="42"/>
        <v>12880</v>
      </c>
      <c r="BF53" s="76">
        <f t="shared" ref="BF53:BG55" si="220">AV53*(1+$BA53)</f>
        <v>137.5</v>
      </c>
      <c r="BG53" s="76">
        <f t="shared" si="220"/>
        <v>192.50000000000003</v>
      </c>
      <c r="BH53" s="76">
        <f t="shared" si="7"/>
        <v>165</v>
      </c>
      <c r="BI53" s="4">
        <v>25</v>
      </c>
      <c r="BJ53" s="76">
        <f>BE53</f>
        <v>12880</v>
      </c>
      <c r="BK53" s="76">
        <f t="shared" si="204"/>
        <v>10304</v>
      </c>
      <c r="BL53" s="111">
        <f t="shared" si="43"/>
        <v>-12880</v>
      </c>
      <c r="BM53" s="4">
        <f t="shared" si="210"/>
        <v>0</v>
      </c>
      <c r="BN53" s="4">
        <f t="shared" si="57"/>
        <v>0</v>
      </c>
      <c r="BO53" s="4">
        <f t="shared" si="201"/>
        <v>0</v>
      </c>
      <c r="BP53" s="4">
        <f t="shared" si="58"/>
        <v>0</v>
      </c>
      <c r="BQ53" s="324">
        <f t="shared" si="211"/>
        <v>0</v>
      </c>
      <c r="BR53" s="324">
        <f t="shared" si="212"/>
        <v>0</v>
      </c>
      <c r="BS53" s="324">
        <f t="shared" si="202"/>
        <v>0</v>
      </c>
      <c r="BT53" s="324">
        <f t="shared" si="203"/>
        <v>0</v>
      </c>
      <c r="BU53" s="76">
        <f t="shared" si="198"/>
        <v>14936.264706519098</v>
      </c>
      <c r="BV53" s="111" t="e">
        <f t="shared" ref="BV53:BV61" si="221">((BE53/12.46)+BH53)/((AA53+AB53)/2)</f>
        <v>#DIV/0!</v>
      </c>
      <c r="BW53" s="88">
        <f t="shared" si="17"/>
        <v>0</v>
      </c>
      <c r="BX53" s="89">
        <f t="shared" si="18"/>
        <v>0</v>
      </c>
      <c r="BY53" s="89">
        <f t="shared" si="19"/>
        <v>0</v>
      </c>
      <c r="BZ53" s="89">
        <f t="shared" si="20"/>
        <v>0</v>
      </c>
      <c r="CA53" s="89">
        <f t="shared" si="21"/>
        <v>0</v>
      </c>
      <c r="CB53" s="89">
        <f t="shared" si="22"/>
        <v>0</v>
      </c>
      <c r="CC53" s="89">
        <f t="shared" si="23"/>
        <v>0</v>
      </c>
      <c r="CD53" s="89">
        <f t="shared" si="24"/>
        <v>0</v>
      </c>
      <c r="CE53" s="89">
        <f t="shared" si="25"/>
        <v>0</v>
      </c>
      <c r="CF53" s="89">
        <f t="shared" si="26"/>
        <v>0</v>
      </c>
      <c r="CG53" s="89">
        <f t="shared" si="27"/>
        <v>0</v>
      </c>
      <c r="CH53" s="89">
        <f t="shared" si="28"/>
        <v>0</v>
      </c>
      <c r="CI53" s="41">
        <f t="shared" si="110"/>
        <v>0</v>
      </c>
      <c r="CJ53" s="41">
        <f t="shared" si="111"/>
        <v>0</v>
      </c>
      <c r="CK53" s="41">
        <f t="shared" si="112"/>
        <v>0</v>
      </c>
      <c r="CL53" s="41">
        <f t="shared" si="113"/>
        <v>0</v>
      </c>
      <c r="CM53" s="346">
        <f t="shared" si="29"/>
        <v>0</v>
      </c>
      <c r="CN53" s="204">
        <f t="shared" si="30"/>
        <v>0</v>
      </c>
      <c r="CO53" s="204">
        <f t="shared" si="44"/>
        <v>0</v>
      </c>
      <c r="CP53" s="204">
        <f t="shared" si="31"/>
        <v>0</v>
      </c>
      <c r="CQ53" s="204">
        <f t="shared" si="32"/>
        <v>0</v>
      </c>
      <c r="CR53" s="204">
        <f t="shared" si="45"/>
        <v>0</v>
      </c>
      <c r="CS53" s="204">
        <f t="shared" si="33"/>
        <v>0</v>
      </c>
      <c r="CT53" s="204">
        <f t="shared" si="34"/>
        <v>0</v>
      </c>
      <c r="CU53" s="204">
        <f t="shared" si="46"/>
        <v>0</v>
      </c>
      <c r="CV53" s="204">
        <f t="shared" si="35"/>
        <v>0</v>
      </c>
      <c r="CW53" s="204">
        <f t="shared" si="36"/>
        <v>0</v>
      </c>
      <c r="CX53" s="204">
        <f t="shared" si="47"/>
        <v>0</v>
      </c>
      <c r="CY53" s="286" t="s">
        <v>118</v>
      </c>
      <c r="CZ53" s="285" t="s">
        <v>57</v>
      </c>
      <c r="DA53" s="285" t="s">
        <v>57</v>
      </c>
      <c r="DB53" s="285" t="s">
        <v>331</v>
      </c>
      <c r="DC53" s="285" t="s">
        <v>57</v>
      </c>
      <c r="DD53" s="271" t="s">
        <v>140</v>
      </c>
      <c r="DE53" s="271" t="s">
        <v>256</v>
      </c>
      <c r="DF53" s="285" t="s">
        <v>56</v>
      </c>
      <c r="DG53" s="285" t="s">
        <v>56</v>
      </c>
      <c r="DH53" s="285" t="s">
        <v>57</v>
      </c>
      <c r="DI53" s="285" t="s">
        <v>57</v>
      </c>
      <c r="DJ53" s="272" t="s">
        <v>77</v>
      </c>
      <c r="DK53" s="272" t="s">
        <v>77</v>
      </c>
      <c r="DL53" s="272" t="s">
        <v>77</v>
      </c>
      <c r="DM53" s="271" t="s">
        <v>360</v>
      </c>
      <c r="DN53" s="83" t="s">
        <v>77</v>
      </c>
      <c r="DO53" s="83" t="s">
        <v>645</v>
      </c>
      <c r="DP53" s="83"/>
      <c r="DQ53" s="527" t="s">
        <v>899</v>
      </c>
      <c r="DR53" s="531" t="s">
        <v>900</v>
      </c>
      <c r="DS53" s="271" t="s">
        <v>141</v>
      </c>
      <c r="DT53" s="105" t="s">
        <v>142</v>
      </c>
      <c r="DU53" s="28"/>
      <c r="DV53" s="28"/>
      <c r="DW53" s="28"/>
      <c r="DX53" s="28"/>
      <c r="DY53" s="28"/>
      <c r="DZ53" s="28"/>
      <c r="EA53" s="28"/>
      <c r="EB53" s="28"/>
    </row>
    <row r="54" spans="1:132" ht="150" customHeight="1" x14ac:dyDescent="0.2">
      <c r="A54" s="759"/>
      <c r="B54" s="282" t="s">
        <v>28</v>
      </c>
      <c r="C54" s="84"/>
      <c r="D54" s="235">
        <v>601</v>
      </c>
      <c r="E54" s="271" t="s">
        <v>808</v>
      </c>
      <c r="F54" s="272" t="s">
        <v>102</v>
      </c>
      <c r="G54" s="272" t="s">
        <v>103</v>
      </c>
      <c r="H54" s="276" t="s">
        <v>130</v>
      </c>
      <c r="I54" s="275" t="s">
        <v>781</v>
      </c>
      <c r="J54" s="271" t="s">
        <v>330</v>
      </c>
      <c r="K54" s="259" t="s">
        <v>612</v>
      </c>
      <c r="L54" s="272" t="s">
        <v>11</v>
      </c>
      <c r="M54" s="307">
        <v>160</v>
      </c>
      <c r="N54" s="11" t="s">
        <v>77</v>
      </c>
      <c r="O54" s="11" t="s">
        <v>77</v>
      </c>
      <c r="P54" s="303">
        <f t="shared" si="213"/>
        <v>1</v>
      </c>
      <c r="Q54" s="589">
        <v>26.25</v>
      </c>
      <c r="R54" s="101">
        <f t="shared" ref="R54:R61" si="222">$U$123</f>
        <v>8</v>
      </c>
      <c r="S54" s="590">
        <f>(1-19/Q54)*100</f>
        <v>27.61904761904762</v>
      </c>
      <c r="T54" s="590">
        <f t="shared" ref="T54:T61" si="223">S54</f>
        <v>27.61904761904762</v>
      </c>
      <c r="U54" s="4">
        <v>10</v>
      </c>
      <c r="V54" s="4">
        <v>20</v>
      </c>
      <c r="W54" s="189">
        <f t="shared" si="214"/>
        <v>0.27619047619047621</v>
      </c>
      <c r="X54" s="51" t="s">
        <v>373</v>
      </c>
      <c r="Y54" s="145">
        <f t="shared" si="205"/>
        <v>3.5311560000000006</v>
      </c>
      <c r="Z54" s="145">
        <f t="shared" si="206"/>
        <v>3.5311560000000006</v>
      </c>
      <c r="AA54" s="145">
        <f t="shared" si="207"/>
        <v>1.6017323616000003</v>
      </c>
      <c r="AB54" s="145">
        <f t="shared" si="215"/>
        <v>1.6017323616000003</v>
      </c>
      <c r="AC54" s="145">
        <f t="shared" si="216"/>
        <v>1.6017323616000003</v>
      </c>
      <c r="AD54" s="145">
        <f t="shared" si="208"/>
        <v>0.38964480000000007</v>
      </c>
      <c r="AE54" s="145">
        <f t="shared" si="209"/>
        <v>0.77928960000000014</v>
      </c>
      <c r="AF54" s="145">
        <f t="shared" si="217"/>
        <v>0.17674288128000004</v>
      </c>
      <c r="AG54" s="145">
        <f t="shared" si="218"/>
        <v>0.35348576256000008</v>
      </c>
      <c r="AH54" s="76">
        <v>10000</v>
      </c>
      <c r="AI54" s="76">
        <v>30000</v>
      </c>
      <c r="AJ54" s="76">
        <f t="shared" si="48"/>
        <v>20000</v>
      </c>
      <c r="AK54" s="76">
        <f t="shared" si="131"/>
        <v>10000</v>
      </c>
      <c r="AL54" s="76">
        <f t="shared" si="132"/>
        <v>30000</v>
      </c>
      <c r="AM54" s="76">
        <f t="shared" si="196"/>
        <v>20000</v>
      </c>
      <c r="AN54" s="104">
        <v>0.45</v>
      </c>
      <c r="AO54" s="76">
        <v>0</v>
      </c>
      <c r="AP54" s="76">
        <f>(AK54*(1+$AN$2))+AO54</f>
        <v>14000</v>
      </c>
      <c r="AQ54" s="76">
        <f>(AL54*(1+$AN$2))+AO54</f>
        <v>42000</v>
      </c>
      <c r="AR54" s="76">
        <f t="shared" si="53"/>
        <v>28000</v>
      </c>
      <c r="AS54" s="76">
        <v>1000</v>
      </c>
      <c r="AT54" s="76">
        <v>1500</v>
      </c>
      <c r="AU54" s="76">
        <f t="shared" si="59"/>
        <v>1250</v>
      </c>
      <c r="AV54" s="76">
        <f t="shared" si="133"/>
        <v>1000</v>
      </c>
      <c r="AW54" s="76">
        <f t="shared" si="134"/>
        <v>1500</v>
      </c>
      <c r="AX54" s="76">
        <f t="shared" si="197"/>
        <v>1250</v>
      </c>
      <c r="AY54" s="51">
        <v>0</v>
      </c>
      <c r="AZ54" s="51">
        <v>-0.2</v>
      </c>
      <c r="BA54" s="51">
        <v>0.1</v>
      </c>
      <c r="BB54" s="327" t="s">
        <v>302</v>
      </c>
      <c r="BC54" s="76">
        <f t="shared" si="219"/>
        <v>11200</v>
      </c>
      <c r="BD54" s="76">
        <f t="shared" si="219"/>
        <v>33600</v>
      </c>
      <c r="BE54" s="76">
        <f t="shared" si="42"/>
        <v>22400</v>
      </c>
      <c r="BF54" s="76">
        <f t="shared" si="220"/>
        <v>1100</v>
      </c>
      <c r="BG54" s="76">
        <f t="shared" si="220"/>
        <v>1650.0000000000002</v>
      </c>
      <c r="BH54" s="76">
        <f t="shared" si="7"/>
        <v>1375</v>
      </c>
      <c r="BI54" s="4">
        <v>10</v>
      </c>
      <c r="BJ54" s="76">
        <v>5000</v>
      </c>
      <c r="BK54" s="76">
        <f t="shared" si="204"/>
        <v>10000</v>
      </c>
      <c r="BL54" s="111">
        <f t="shared" si="43"/>
        <v>3069.5662677037967</v>
      </c>
      <c r="BM54" s="4">
        <f t="shared" si="210"/>
        <v>70.623120000000014</v>
      </c>
      <c r="BN54" s="4">
        <f t="shared" si="57"/>
        <v>32.034647232000005</v>
      </c>
      <c r="BO54" s="4">
        <f t="shared" si="201"/>
        <v>11.689344000000002</v>
      </c>
      <c r="BP54" s="4">
        <f t="shared" si="58"/>
        <v>5.3022864384000012</v>
      </c>
      <c r="BQ54" s="324">
        <f t="shared" si="211"/>
        <v>70.623120000000014</v>
      </c>
      <c r="BR54" s="324">
        <f t="shared" si="212"/>
        <v>32.034647232000005</v>
      </c>
      <c r="BS54" s="324">
        <f t="shared" si="202"/>
        <v>8.7670080000000006</v>
      </c>
      <c r="BT54" s="324">
        <f t="shared" si="203"/>
        <v>3.9767148288000009</v>
      </c>
      <c r="BU54" s="76" t="str">
        <f t="shared" si="198"/>
        <v>N/A</v>
      </c>
      <c r="BV54" s="111">
        <f t="shared" si="221"/>
        <v>1980.8258140076796</v>
      </c>
      <c r="BW54" s="88">
        <f t="shared" si="17"/>
        <v>360.64062686134218</v>
      </c>
      <c r="BX54" s="89">
        <f t="shared" si="18"/>
        <v>242.63356279066227</v>
      </c>
      <c r="BY54" s="89">
        <f t="shared" si="19"/>
        <v>603.27418965200445</v>
      </c>
      <c r="BZ54" s="89">
        <f t="shared" si="20"/>
        <v>795.06311036451109</v>
      </c>
      <c r="CA54" s="89">
        <f t="shared" si="21"/>
        <v>534.90644354202448</v>
      </c>
      <c r="CB54" s="89">
        <f t="shared" si="22"/>
        <v>1329.9695539065356</v>
      </c>
      <c r="CC54" s="89">
        <f t="shared" si="23"/>
        <v>2178.8704539539426</v>
      </c>
      <c r="CD54" s="89">
        <f t="shared" si="24"/>
        <v>1465.9111085269178</v>
      </c>
      <c r="CE54" s="89">
        <f t="shared" si="25"/>
        <v>3644.7815624808604</v>
      </c>
      <c r="CF54" s="89">
        <f t="shared" si="26"/>
        <v>4803.5062917855876</v>
      </c>
      <c r="CG54" s="89">
        <f t="shared" si="27"/>
        <v>3231.7264297330639</v>
      </c>
      <c r="CH54" s="89">
        <f t="shared" si="28"/>
        <v>8035.2327215186515</v>
      </c>
      <c r="CI54" s="41">
        <f t="shared" si="110"/>
        <v>7053.9028513025141</v>
      </c>
      <c r="CJ54" s="41">
        <f t="shared" si="111"/>
        <v>15338.503046931646</v>
      </c>
      <c r="CK54" s="41">
        <f t="shared" si="112"/>
        <v>31962.99729496452</v>
      </c>
      <c r="CL54" s="41">
        <f t="shared" si="113"/>
        <v>139005.18386281806</v>
      </c>
      <c r="CM54" s="346">
        <f t="shared" si="29"/>
        <v>360.64062686134218</v>
      </c>
      <c r="CN54" s="204">
        <f t="shared" si="30"/>
        <v>242.63356279066227</v>
      </c>
      <c r="CO54" s="204">
        <f t="shared" si="44"/>
        <v>603.27418965200445</v>
      </c>
      <c r="CP54" s="204">
        <f t="shared" si="31"/>
        <v>795.06311036451109</v>
      </c>
      <c r="CQ54" s="204">
        <f t="shared" si="32"/>
        <v>534.90644354202448</v>
      </c>
      <c r="CR54" s="204">
        <f t="shared" si="45"/>
        <v>1329.9695539065356</v>
      </c>
      <c r="CS54" s="204">
        <f t="shared" si="33"/>
        <v>2905.1606052719235</v>
      </c>
      <c r="CT54" s="204">
        <f t="shared" si="34"/>
        <v>1954.5481447025575</v>
      </c>
      <c r="CU54" s="204">
        <f t="shared" si="46"/>
        <v>4859.7087499744812</v>
      </c>
      <c r="CV54" s="204">
        <f t="shared" si="35"/>
        <v>6404.6750557141158</v>
      </c>
      <c r="CW54" s="204">
        <f t="shared" si="36"/>
        <v>4308.9685729774183</v>
      </c>
      <c r="CX54" s="204">
        <f t="shared" si="47"/>
        <v>10713.643628691534</v>
      </c>
      <c r="CY54" s="286" t="s">
        <v>118</v>
      </c>
      <c r="CZ54" s="285" t="s">
        <v>57</v>
      </c>
      <c r="DA54" s="285" t="s">
        <v>57</v>
      </c>
      <c r="DB54" s="285" t="s">
        <v>331</v>
      </c>
      <c r="DC54" s="285" t="s">
        <v>57</v>
      </c>
      <c r="DD54" s="271" t="s">
        <v>140</v>
      </c>
      <c r="DE54" s="271" t="s">
        <v>143</v>
      </c>
      <c r="DF54" s="285" t="s">
        <v>56</v>
      </c>
      <c r="DG54" s="285" t="s">
        <v>56</v>
      </c>
      <c r="DH54" s="285" t="s">
        <v>57</v>
      </c>
      <c r="DI54" s="285" t="s">
        <v>57</v>
      </c>
      <c r="DJ54" s="272" t="s">
        <v>77</v>
      </c>
      <c r="DK54" s="272" t="s">
        <v>77</v>
      </c>
      <c r="DL54" s="272" t="s">
        <v>77</v>
      </c>
      <c r="DM54" s="271" t="s">
        <v>360</v>
      </c>
      <c r="DN54" s="83" t="s">
        <v>361</v>
      </c>
      <c r="DO54" s="83" t="s">
        <v>645</v>
      </c>
      <c r="DP54" s="83"/>
      <c r="DQ54" s="527" t="s">
        <v>901</v>
      </c>
      <c r="DR54" s="531" t="s">
        <v>902</v>
      </c>
      <c r="DS54" s="271" t="s">
        <v>381</v>
      </c>
      <c r="DT54" s="105" t="s">
        <v>144</v>
      </c>
      <c r="DU54" s="28"/>
      <c r="DV54" s="28"/>
      <c r="DW54" s="28"/>
      <c r="DX54" s="28"/>
      <c r="DY54" s="28"/>
      <c r="DZ54" s="28"/>
      <c r="EA54" s="28"/>
      <c r="EB54" s="28"/>
    </row>
    <row r="55" spans="1:132" ht="140.25" customHeight="1" x14ac:dyDescent="0.2">
      <c r="A55" s="761"/>
      <c r="B55" s="282" t="s">
        <v>29</v>
      </c>
      <c r="C55" s="84"/>
      <c r="D55" s="235">
        <v>602</v>
      </c>
      <c r="E55" s="271" t="s">
        <v>809</v>
      </c>
      <c r="F55" s="272" t="s">
        <v>102</v>
      </c>
      <c r="G55" s="272" t="s">
        <v>103</v>
      </c>
      <c r="H55" s="276" t="s">
        <v>130</v>
      </c>
      <c r="I55" s="275" t="s">
        <v>781</v>
      </c>
      <c r="J55" s="271" t="s">
        <v>330</v>
      </c>
      <c r="K55" s="259" t="s">
        <v>613</v>
      </c>
      <c r="L55" s="272" t="s">
        <v>11</v>
      </c>
      <c r="M55" s="307">
        <v>160</v>
      </c>
      <c r="N55" s="11" t="s">
        <v>77</v>
      </c>
      <c r="O55" s="11" t="s">
        <v>77</v>
      </c>
      <c r="P55" s="303">
        <f t="shared" si="213"/>
        <v>1</v>
      </c>
      <c r="Q55" s="589">
        <v>26.25</v>
      </c>
      <c r="R55" s="101">
        <f t="shared" si="222"/>
        <v>8</v>
      </c>
      <c r="S55" s="590">
        <f>(1-13/Q55)*100</f>
        <v>50.476190476190474</v>
      </c>
      <c r="T55" s="590">
        <f t="shared" si="223"/>
        <v>50.476190476190474</v>
      </c>
      <c r="U55" s="4">
        <v>26</v>
      </c>
      <c r="V55" s="4">
        <v>40</v>
      </c>
      <c r="W55" s="189">
        <f t="shared" si="214"/>
        <v>0.50476190476190474</v>
      </c>
      <c r="X55" s="51" t="s">
        <v>373</v>
      </c>
      <c r="Y55" s="145">
        <f t="shared" si="205"/>
        <v>6.4534919999999998</v>
      </c>
      <c r="Z55" s="145">
        <f t="shared" si="206"/>
        <v>6.4534919999999998</v>
      </c>
      <c r="AA55" s="145">
        <f t="shared" si="207"/>
        <v>2.9273039711999997</v>
      </c>
      <c r="AB55" s="145">
        <f t="shared" si="215"/>
        <v>2.9273039711999997</v>
      </c>
      <c r="AC55" s="145">
        <f t="shared" si="216"/>
        <v>2.9273039711999997</v>
      </c>
      <c r="AD55" s="145">
        <f t="shared" si="208"/>
        <v>1.0130764800000001</v>
      </c>
      <c r="AE55" s="145">
        <f t="shared" si="209"/>
        <v>1.5585792000000003</v>
      </c>
      <c r="AF55" s="145">
        <f t="shared" si="217"/>
        <v>0.45953149132800003</v>
      </c>
      <c r="AG55" s="145">
        <f t="shared" si="218"/>
        <v>0.70697152512000017</v>
      </c>
      <c r="AH55" s="76">
        <v>15000</v>
      </c>
      <c r="AI55" s="76">
        <v>35000</v>
      </c>
      <c r="AJ55" s="109">
        <f t="shared" si="48"/>
        <v>25000</v>
      </c>
      <c r="AK55" s="76">
        <f t="shared" si="131"/>
        <v>15000</v>
      </c>
      <c r="AL55" s="76">
        <f t="shared" si="132"/>
        <v>35000</v>
      </c>
      <c r="AM55" s="76">
        <f t="shared" si="196"/>
        <v>25000</v>
      </c>
      <c r="AN55" s="104">
        <v>0.4</v>
      </c>
      <c r="AO55" s="76">
        <v>0</v>
      </c>
      <c r="AP55" s="76">
        <f>(AK55*(1+$AN$2))+AO55</f>
        <v>21000</v>
      </c>
      <c r="AQ55" s="76">
        <f>(AL55*(1+$AN$2))+AO55</f>
        <v>49000</v>
      </c>
      <c r="AR55" s="76">
        <f t="shared" si="53"/>
        <v>35000</v>
      </c>
      <c r="AS55" s="76">
        <v>3000</v>
      </c>
      <c r="AT55" s="76">
        <v>4000</v>
      </c>
      <c r="AU55" s="111">
        <f t="shared" si="59"/>
        <v>3500</v>
      </c>
      <c r="AV55" s="76">
        <f t="shared" si="133"/>
        <v>3000</v>
      </c>
      <c r="AW55" s="76">
        <f t="shared" si="134"/>
        <v>4000</v>
      </c>
      <c r="AX55" s="76">
        <f t="shared" si="197"/>
        <v>3500</v>
      </c>
      <c r="AY55" s="51">
        <v>0</v>
      </c>
      <c r="AZ55" s="51">
        <v>-0.2</v>
      </c>
      <c r="BA55" s="51">
        <v>0.1</v>
      </c>
      <c r="BB55" s="327" t="s">
        <v>302</v>
      </c>
      <c r="BC55" s="76">
        <f t="shared" si="219"/>
        <v>16800</v>
      </c>
      <c r="BD55" s="76">
        <f t="shared" si="219"/>
        <v>39200</v>
      </c>
      <c r="BE55" s="76">
        <f t="shared" si="42"/>
        <v>28000</v>
      </c>
      <c r="BF55" s="76">
        <f t="shared" si="220"/>
        <v>3300.0000000000005</v>
      </c>
      <c r="BG55" s="76">
        <f t="shared" si="220"/>
        <v>4400</v>
      </c>
      <c r="BH55" s="76">
        <f t="shared" si="7"/>
        <v>3850.0000000000005</v>
      </c>
      <c r="BI55" s="4">
        <v>10</v>
      </c>
      <c r="BJ55" s="76">
        <v>7500</v>
      </c>
      <c r="BK55" s="76">
        <f t="shared" si="204"/>
        <v>15000</v>
      </c>
      <c r="BL55" s="111">
        <f t="shared" si="43"/>
        <v>4604.3494015556953</v>
      </c>
      <c r="BM55" s="4">
        <f t="shared" si="210"/>
        <v>129.06984</v>
      </c>
      <c r="BN55" s="4">
        <f t="shared" si="57"/>
        <v>58.546079423999998</v>
      </c>
      <c r="BO55" s="4">
        <f t="shared" si="201"/>
        <v>25.716556799999999</v>
      </c>
      <c r="BP55" s="4">
        <f t="shared" si="58"/>
        <v>11.665030164479999</v>
      </c>
      <c r="BQ55" s="324">
        <f t="shared" si="211"/>
        <v>129.06984</v>
      </c>
      <c r="BR55" s="324">
        <f t="shared" si="212"/>
        <v>58.546079423999998</v>
      </c>
      <c r="BS55" s="324">
        <f t="shared" si="202"/>
        <v>19.287417599999998</v>
      </c>
      <c r="BT55" s="324">
        <f t="shared" si="203"/>
        <v>8.7487726233599989</v>
      </c>
      <c r="BU55" s="76" t="str">
        <f t="shared" si="198"/>
        <v>N/A</v>
      </c>
      <c r="BV55" s="111">
        <f t="shared" si="221"/>
        <v>2082.8691079650716</v>
      </c>
      <c r="BW55" s="88">
        <f t="shared" si="17"/>
        <v>252.61013263482542</v>
      </c>
      <c r="BX55" s="89">
        <f t="shared" si="18"/>
        <v>371.73293016229781</v>
      </c>
      <c r="BY55" s="89">
        <f t="shared" si="19"/>
        <v>624.34306279712325</v>
      </c>
      <c r="BZ55" s="89">
        <f t="shared" si="20"/>
        <v>556.90064513850405</v>
      </c>
      <c r="CA55" s="89">
        <f t="shared" si="21"/>
        <v>819.51704180400748</v>
      </c>
      <c r="CB55" s="89">
        <f t="shared" si="22"/>
        <v>1376.4176869425114</v>
      </c>
      <c r="CC55" s="89">
        <f t="shared" si="23"/>
        <v>1267.8349459891806</v>
      </c>
      <c r="CD55" s="89">
        <f t="shared" si="24"/>
        <v>1865.7050472160779</v>
      </c>
      <c r="CE55" s="89">
        <f t="shared" si="25"/>
        <v>3133.5399932052587</v>
      </c>
      <c r="CF55" s="89">
        <f t="shared" si="26"/>
        <v>2795.0505863959011</v>
      </c>
      <c r="CG55" s="89">
        <f t="shared" si="27"/>
        <v>4113.1063651148106</v>
      </c>
      <c r="CH55" s="89">
        <f t="shared" si="28"/>
        <v>6908.1569515107112</v>
      </c>
      <c r="CI55" s="41">
        <f t="shared" si="110"/>
        <v>8975.8062968671784</v>
      </c>
      <c r="CJ55" s="41">
        <f t="shared" si="111"/>
        <v>14570.983508955453</v>
      </c>
      <c r="CK55" s="41">
        <f t="shared" si="112"/>
        <v>37165.447947965651</v>
      </c>
      <c r="CL55" s="41">
        <f t="shared" si="113"/>
        <v>92819.967064259487</v>
      </c>
      <c r="CM55" s="346">
        <f t="shared" si="29"/>
        <v>252.61013263482542</v>
      </c>
      <c r="CN55" s="204">
        <f t="shared" si="30"/>
        <v>371.73293016229781</v>
      </c>
      <c r="CO55" s="204">
        <f t="shared" si="44"/>
        <v>624.34306279712325</v>
      </c>
      <c r="CP55" s="204">
        <f t="shared" si="31"/>
        <v>556.90064513850405</v>
      </c>
      <c r="CQ55" s="204">
        <f t="shared" si="32"/>
        <v>819.51704180400748</v>
      </c>
      <c r="CR55" s="204">
        <f t="shared" si="45"/>
        <v>1376.4176869425114</v>
      </c>
      <c r="CS55" s="204">
        <f t="shared" si="33"/>
        <v>1690.4465946522409</v>
      </c>
      <c r="CT55" s="204">
        <f t="shared" si="34"/>
        <v>2487.6067296214374</v>
      </c>
      <c r="CU55" s="204">
        <f t="shared" si="46"/>
        <v>4178.0533242736783</v>
      </c>
      <c r="CV55" s="204">
        <f t="shared" si="35"/>
        <v>3726.7341151945348</v>
      </c>
      <c r="CW55" s="204">
        <f t="shared" si="36"/>
        <v>5484.1418201530805</v>
      </c>
      <c r="CX55" s="204">
        <f t="shared" si="47"/>
        <v>9210.8759353476162</v>
      </c>
      <c r="CY55" s="286" t="s">
        <v>118</v>
      </c>
      <c r="CZ55" s="285" t="s">
        <v>57</v>
      </c>
      <c r="DA55" s="285" t="s">
        <v>57</v>
      </c>
      <c r="DB55" s="285" t="s">
        <v>331</v>
      </c>
      <c r="DC55" s="285" t="s">
        <v>57</v>
      </c>
      <c r="DD55" s="271" t="s">
        <v>140</v>
      </c>
      <c r="DE55" s="271" t="s">
        <v>143</v>
      </c>
      <c r="DF55" s="285" t="s">
        <v>56</v>
      </c>
      <c r="DG55" s="285" t="s">
        <v>56</v>
      </c>
      <c r="DH55" s="285" t="s">
        <v>57</v>
      </c>
      <c r="DI55" s="285" t="s">
        <v>57</v>
      </c>
      <c r="DJ55" s="272" t="s">
        <v>77</v>
      </c>
      <c r="DK55" s="272" t="s">
        <v>77</v>
      </c>
      <c r="DL55" s="272" t="s">
        <v>77</v>
      </c>
      <c r="DM55" s="271" t="s">
        <v>360</v>
      </c>
      <c r="DN55" s="83" t="s">
        <v>361</v>
      </c>
      <c r="DO55" s="83" t="s">
        <v>835</v>
      </c>
      <c r="DP55" s="83"/>
      <c r="DQ55" s="527" t="s">
        <v>903</v>
      </c>
      <c r="DR55" s="531" t="s">
        <v>904</v>
      </c>
      <c r="DS55" s="271" t="s">
        <v>384</v>
      </c>
      <c r="DT55" s="105" t="s">
        <v>144</v>
      </c>
      <c r="DU55" s="28"/>
      <c r="DV55" s="28"/>
      <c r="DW55" s="28"/>
      <c r="DX55" s="28"/>
      <c r="DY55" s="28"/>
      <c r="DZ55" s="28"/>
      <c r="EA55" s="28"/>
      <c r="EB55" s="28"/>
    </row>
    <row r="56" spans="1:132" ht="189" customHeight="1" x14ac:dyDescent="0.2">
      <c r="A56" s="760" t="s">
        <v>421</v>
      </c>
      <c r="B56" s="282" t="s">
        <v>337</v>
      </c>
      <c r="C56" s="84"/>
      <c r="D56" s="235">
        <v>603</v>
      </c>
      <c r="E56" s="271" t="s">
        <v>810</v>
      </c>
      <c r="F56" s="272" t="s">
        <v>102</v>
      </c>
      <c r="G56" s="272" t="s">
        <v>103</v>
      </c>
      <c r="H56" s="276" t="s">
        <v>130</v>
      </c>
      <c r="I56" s="275" t="s">
        <v>782</v>
      </c>
      <c r="J56" s="271" t="s">
        <v>330</v>
      </c>
      <c r="K56" s="259" t="s">
        <v>604</v>
      </c>
      <c r="L56" s="272" t="s">
        <v>11</v>
      </c>
      <c r="M56" s="307">
        <v>10000</v>
      </c>
      <c r="N56" s="11" t="s">
        <v>77</v>
      </c>
      <c r="O56" s="11" t="s">
        <v>77</v>
      </c>
      <c r="P56" s="303">
        <f t="shared" si="213"/>
        <v>62.5</v>
      </c>
      <c r="Q56" s="589">
        <v>26.25</v>
      </c>
      <c r="R56" s="101">
        <f t="shared" si="222"/>
        <v>8</v>
      </c>
      <c r="S56" s="590">
        <f>(1-15/Q56)*100</f>
        <v>42.857142857142861</v>
      </c>
      <c r="T56" s="590">
        <f t="shared" si="223"/>
        <v>42.857142857142861</v>
      </c>
      <c r="U56" s="4">
        <v>26</v>
      </c>
      <c r="V56" s="4">
        <v>40</v>
      </c>
      <c r="W56" s="189">
        <f t="shared" si="214"/>
        <v>0.42857142857142855</v>
      </c>
      <c r="X56" s="51" t="s">
        <v>373</v>
      </c>
      <c r="Y56" s="145">
        <f t="shared" si="205"/>
        <v>342.46125000000001</v>
      </c>
      <c r="Z56" s="145">
        <f t="shared" si="206"/>
        <v>342.46125000000001</v>
      </c>
      <c r="AA56" s="145">
        <f t="shared" si="207"/>
        <v>155.34042300000002</v>
      </c>
      <c r="AB56" s="145">
        <f t="shared" si="215"/>
        <v>155.34042300000002</v>
      </c>
      <c r="AC56" s="145">
        <f t="shared" si="216"/>
        <v>155.34042300000002</v>
      </c>
      <c r="AD56" s="145">
        <f t="shared" si="208"/>
        <v>63.317280000000004</v>
      </c>
      <c r="AE56" s="145">
        <f t="shared" si="209"/>
        <v>97.411200000000008</v>
      </c>
      <c r="AF56" s="145">
        <f t="shared" si="217"/>
        <v>28.720718208000001</v>
      </c>
      <c r="AG56" s="145">
        <f t="shared" si="218"/>
        <v>44.185720320000001</v>
      </c>
      <c r="AH56" s="76"/>
      <c r="AI56" s="76"/>
      <c r="AJ56" s="97">
        <f>ROUND(((3698*$M56^-0.381)*$M56),-3)</f>
        <v>1107000</v>
      </c>
      <c r="AK56" s="76"/>
      <c r="AL56" s="76"/>
      <c r="AM56" s="76">
        <f t="shared" si="196"/>
        <v>1107000</v>
      </c>
      <c r="AN56" s="104">
        <v>0.45</v>
      </c>
      <c r="AO56" s="76">
        <f>$AA$121</f>
        <v>250000</v>
      </c>
      <c r="AP56" s="76"/>
      <c r="AQ56" s="76"/>
      <c r="AR56" s="76">
        <f t="shared" ref="AR56:AR61" si="224">(AM56*(1+$AN$2))+AO56</f>
        <v>1799800</v>
      </c>
      <c r="AS56" s="76"/>
      <c r="AT56" s="76"/>
      <c r="AU56" s="143">
        <f>ROUND(((626.43*$M56^-0.421)*$M56),-3)</f>
        <v>130000</v>
      </c>
      <c r="AV56" s="76"/>
      <c r="AW56" s="76"/>
      <c r="AX56" s="76">
        <f t="shared" si="197"/>
        <v>130000</v>
      </c>
      <c r="AY56" s="51">
        <v>0</v>
      </c>
      <c r="AZ56" s="51">
        <v>0</v>
      </c>
      <c r="BA56" s="51">
        <v>0.1</v>
      </c>
      <c r="BB56" s="327" t="s">
        <v>301</v>
      </c>
      <c r="BC56" s="76"/>
      <c r="BD56" s="76"/>
      <c r="BE56" s="76">
        <f t="shared" si="42"/>
        <v>1799800</v>
      </c>
      <c r="BF56" s="76"/>
      <c r="BG56" s="76"/>
      <c r="BH56" s="76">
        <f t="shared" si="7"/>
        <v>143000</v>
      </c>
      <c r="BI56" s="4">
        <v>10</v>
      </c>
      <c r="BJ56" s="76">
        <v>125000</v>
      </c>
      <c r="BK56" s="76">
        <f t="shared" si="204"/>
        <v>250000</v>
      </c>
      <c r="BL56" s="111">
        <f t="shared" ref="BL56:BL79" si="225">PV(((1+$BY$2)^BI56)-1,ROUNDUP($CB$2/BI56,0),-BJ56,0,0)</f>
        <v>123850.34205171998</v>
      </c>
      <c r="BM56" s="4">
        <f t="shared" si="210"/>
        <v>6849.2250000000004</v>
      </c>
      <c r="BN56" s="4">
        <f t="shared" si="57"/>
        <v>3106.8084600000002</v>
      </c>
      <c r="BO56" s="4">
        <f t="shared" si="201"/>
        <v>1607.2848000000001</v>
      </c>
      <c r="BP56" s="4">
        <f t="shared" si="58"/>
        <v>729.06438528000001</v>
      </c>
      <c r="BQ56" s="324">
        <f t="shared" si="211"/>
        <v>6849.2250000000004</v>
      </c>
      <c r="BR56" s="324">
        <f t="shared" si="212"/>
        <v>3106.8084600000002</v>
      </c>
      <c r="BS56" s="324">
        <f t="shared" si="202"/>
        <v>1205.4636</v>
      </c>
      <c r="BT56" s="324">
        <f t="shared" si="203"/>
        <v>546.79828896000004</v>
      </c>
      <c r="BU56" s="76" t="str">
        <f t="shared" si="198"/>
        <v>N/A</v>
      </c>
      <c r="BV56" s="111">
        <f t="shared" si="221"/>
        <v>1850.4277404302802</v>
      </c>
      <c r="BW56" s="88">
        <f t="shared" si="17"/>
        <v>280.85664320440924</v>
      </c>
      <c r="BX56" s="89">
        <f t="shared" si="18"/>
        <v>260.18944902280447</v>
      </c>
      <c r="BY56" s="89">
        <f t="shared" si="19"/>
        <v>541.04609222721365</v>
      </c>
      <c r="BZ56" s="89">
        <f t="shared" si="20"/>
        <v>619.17249383688102</v>
      </c>
      <c r="CA56" s="89">
        <f t="shared" si="21"/>
        <v>573.60989643475409</v>
      </c>
      <c r="CB56" s="89">
        <f t="shared" si="22"/>
        <v>1192.782390271635</v>
      </c>
      <c r="CC56" s="89">
        <f t="shared" si="23"/>
        <v>1196.8322863824258</v>
      </c>
      <c r="CD56" s="89">
        <f t="shared" si="24"/>
        <v>1108.761856631269</v>
      </c>
      <c r="CE56" s="89">
        <f t="shared" si="25"/>
        <v>2305.5941430136945</v>
      </c>
      <c r="CF56" s="89">
        <f t="shared" si="26"/>
        <v>2638.5191498730728</v>
      </c>
      <c r="CG56" s="89">
        <f t="shared" si="27"/>
        <v>2444.3603541253729</v>
      </c>
      <c r="CH56" s="89">
        <f t="shared" si="28"/>
        <v>5082.8795039984452</v>
      </c>
      <c r="CI56" s="41">
        <f t="shared" si="110"/>
        <v>0</v>
      </c>
      <c r="CJ56" s="41">
        <f t="shared" si="111"/>
        <v>0</v>
      </c>
      <c r="CK56" s="41">
        <f t="shared" si="112"/>
        <v>0</v>
      </c>
      <c r="CL56" s="41">
        <f t="shared" si="113"/>
        <v>0</v>
      </c>
      <c r="CM56" s="346">
        <f t="shared" si="29"/>
        <v>280.85664320440924</v>
      </c>
      <c r="CN56" s="204">
        <f t="shared" si="30"/>
        <v>260.18944902280447</v>
      </c>
      <c r="CO56" s="204">
        <f t="shared" si="44"/>
        <v>541.04609222721365</v>
      </c>
      <c r="CP56" s="204">
        <f t="shared" si="31"/>
        <v>619.17249383688102</v>
      </c>
      <c r="CQ56" s="204">
        <f t="shared" si="32"/>
        <v>573.60989643475409</v>
      </c>
      <c r="CR56" s="204">
        <f t="shared" si="45"/>
        <v>1192.782390271635</v>
      </c>
      <c r="CS56" s="204">
        <f t="shared" si="33"/>
        <v>1595.7763818432343</v>
      </c>
      <c r="CT56" s="204">
        <f t="shared" si="34"/>
        <v>1478.3491421750252</v>
      </c>
      <c r="CU56" s="204">
        <f t="shared" si="46"/>
        <v>3074.1255240182595</v>
      </c>
      <c r="CV56" s="204">
        <f t="shared" si="35"/>
        <v>3518.0255331640969</v>
      </c>
      <c r="CW56" s="204">
        <f t="shared" si="36"/>
        <v>3259.14713883383</v>
      </c>
      <c r="CX56" s="204">
        <f t="shared" si="47"/>
        <v>6777.172671997927</v>
      </c>
      <c r="CY56" s="286" t="s">
        <v>308</v>
      </c>
      <c r="CZ56" s="285" t="s">
        <v>56</v>
      </c>
      <c r="DA56" s="285" t="s">
        <v>57</v>
      </c>
      <c r="DB56" s="285" t="s">
        <v>331</v>
      </c>
      <c r="DC56" s="285" t="s">
        <v>57</v>
      </c>
      <c r="DD56" s="271" t="s">
        <v>145</v>
      </c>
      <c r="DE56" s="271" t="s">
        <v>146</v>
      </c>
      <c r="DF56" s="285" t="s">
        <v>56</v>
      </c>
      <c r="DG56" s="285" t="s">
        <v>56</v>
      </c>
      <c r="DH56" s="285" t="s">
        <v>57</v>
      </c>
      <c r="DI56" s="285" t="s">
        <v>57</v>
      </c>
      <c r="DJ56" s="272" t="s">
        <v>77</v>
      </c>
      <c r="DK56" s="272" t="s">
        <v>77</v>
      </c>
      <c r="DL56" s="272" t="s">
        <v>77</v>
      </c>
      <c r="DM56" s="271" t="s">
        <v>356</v>
      </c>
      <c r="DN56" s="272" t="s">
        <v>113</v>
      </c>
      <c r="DO56" s="520" t="s">
        <v>834</v>
      </c>
      <c r="DP56" s="520"/>
      <c r="DQ56" s="527" t="s">
        <v>905</v>
      </c>
      <c r="DR56" s="531" t="s">
        <v>906</v>
      </c>
      <c r="DS56" s="271"/>
      <c r="DT56" s="105" t="s">
        <v>147</v>
      </c>
      <c r="DU56" s="28"/>
      <c r="DV56" s="28"/>
      <c r="DW56" s="28"/>
      <c r="DX56" s="28"/>
      <c r="DY56" s="28"/>
      <c r="DZ56" s="28"/>
      <c r="EA56" s="28"/>
      <c r="EB56" s="28"/>
    </row>
    <row r="57" spans="1:132" ht="171.75" customHeight="1" x14ac:dyDescent="0.2">
      <c r="A57" s="759"/>
      <c r="B57" s="282" t="s">
        <v>30</v>
      </c>
      <c r="C57" s="84"/>
      <c r="D57" s="235">
        <v>604</v>
      </c>
      <c r="E57" s="271" t="s">
        <v>811</v>
      </c>
      <c r="F57" s="272" t="s">
        <v>102</v>
      </c>
      <c r="G57" s="272" t="s">
        <v>103</v>
      </c>
      <c r="H57" s="276" t="s">
        <v>130</v>
      </c>
      <c r="I57" s="275" t="s">
        <v>782</v>
      </c>
      <c r="J57" s="271" t="s">
        <v>330</v>
      </c>
      <c r="K57" s="259" t="s">
        <v>605</v>
      </c>
      <c r="L57" s="272" t="s">
        <v>11</v>
      </c>
      <c r="M57" s="307">
        <v>10000</v>
      </c>
      <c r="N57" s="11" t="s">
        <v>77</v>
      </c>
      <c r="O57" s="11" t="s">
        <v>77</v>
      </c>
      <c r="P57" s="303">
        <f t="shared" si="213"/>
        <v>62.5</v>
      </c>
      <c r="Q57" s="589">
        <v>26.25</v>
      </c>
      <c r="R57" s="101">
        <f t="shared" si="222"/>
        <v>8</v>
      </c>
      <c r="S57" s="590">
        <f>(1-8/Q57)*100</f>
        <v>69.523809523809518</v>
      </c>
      <c r="T57" s="590">
        <f t="shared" si="223"/>
        <v>69.523809523809518</v>
      </c>
      <c r="U57" s="4">
        <v>40</v>
      </c>
      <c r="V57" s="4">
        <v>60</v>
      </c>
      <c r="W57" s="189">
        <f t="shared" si="214"/>
        <v>0.6952380952380951</v>
      </c>
      <c r="X57" s="51" t="s">
        <v>373</v>
      </c>
      <c r="Y57" s="145">
        <f t="shared" si="205"/>
        <v>555.54825000000005</v>
      </c>
      <c r="Z57" s="145">
        <f t="shared" si="206"/>
        <v>555.54825000000005</v>
      </c>
      <c r="AA57" s="145">
        <f t="shared" si="207"/>
        <v>251.99668620000003</v>
      </c>
      <c r="AB57" s="145">
        <f t="shared" si="215"/>
        <v>251.99668620000003</v>
      </c>
      <c r="AC57" s="145">
        <f t="shared" si="216"/>
        <v>251.99668620000003</v>
      </c>
      <c r="AD57" s="145">
        <f t="shared" si="208"/>
        <v>97.411200000000008</v>
      </c>
      <c r="AE57" s="145">
        <f t="shared" si="209"/>
        <v>146.11680000000001</v>
      </c>
      <c r="AF57" s="145">
        <f t="shared" si="217"/>
        <v>44.185720320000001</v>
      </c>
      <c r="AG57" s="145">
        <f t="shared" si="218"/>
        <v>66.278580480000002</v>
      </c>
      <c r="AH57" s="76"/>
      <c r="AI57" s="76"/>
      <c r="AJ57" s="97">
        <f>ROUND((((3698.1*$M57^-0.381)*$M57)*1.2),-3)</f>
        <v>1328000</v>
      </c>
      <c r="AK57" s="76"/>
      <c r="AL57" s="76"/>
      <c r="AM57" s="76">
        <f t="shared" si="196"/>
        <v>1328000</v>
      </c>
      <c r="AN57" s="104">
        <v>0.4</v>
      </c>
      <c r="AO57" s="76">
        <f>$AA$121</f>
        <v>250000</v>
      </c>
      <c r="AP57" s="76"/>
      <c r="AQ57" s="76"/>
      <c r="AR57" s="76">
        <f t="shared" si="224"/>
        <v>2109200</v>
      </c>
      <c r="AS57" s="76"/>
      <c r="AT57" s="76"/>
      <c r="AU57" s="143">
        <f>ROUND((((626.43*$M57^-0.421)*$M57)*1.2),-3)</f>
        <v>156000</v>
      </c>
      <c r="AV57" s="76"/>
      <c r="AW57" s="76"/>
      <c r="AX57" s="76">
        <f t="shared" si="197"/>
        <v>156000</v>
      </c>
      <c r="AY57" s="51">
        <v>0</v>
      </c>
      <c r="AZ57" s="51">
        <v>0</v>
      </c>
      <c r="BA57" s="51">
        <v>0.1</v>
      </c>
      <c r="BB57" s="327" t="s">
        <v>301</v>
      </c>
      <c r="BC57" s="76"/>
      <c r="BD57" s="76"/>
      <c r="BE57" s="76">
        <f t="shared" si="42"/>
        <v>2109200</v>
      </c>
      <c r="BF57" s="76"/>
      <c r="BG57" s="76"/>
      <c r="BH57" s="76">
        <f t="shared" si="7"/>
        <v>171600</v>
      </c>
      <c r="BI57" s="4">
        <v>10</v>
      </c>
      <c r="BJ57" s="76">
        <v>150000</v>
      </c>
      <c r="BK57" s="76">
        <f t="shared" si="204"/>
        <v>300000</v>
      </c>
      <c r="BL57" s="111">
        <f t="shared" si="225"/>
        <v>148620.410462064</v>
      </c>
      <c r="BM57" s="4">
        <f t="shared" si="210"/>
        <v>11110.965</v>
      </c>
      <c r="BN57" s="4">
        <f t="shared" si="57"/>
        <v>5039.9337240000004</v>
      </c>
      <c r="BO57" s="4">
        <f t="shared" si="201"/>
        <v>2435.2800000000002</v>
      </c>
      <c r="BP57" s="4">
        <f t="shared" si="58"/>
        <v>1104.643008</v>
      </c>
      <c r="BQ57" s="324">
        <f t="shared" si="211"/>
        <v>11110.965</v>
      </c>
      <c r="BR57" s="324">
        <f t="shared" si="212"/>
        <v>5039.9337240000004</v>
      </c>
      <c r="BS57" s="324">
        <f t="shared" si="202"/>
        <v>1826.46</v>
      </c>
      <c r="BT57" s="324">
        <f t="shared" si="203"/>
        <v>828.48225600000001</v>
      </c>
      <c r="BU57" s="76" t="str">
        <f t="shared" si="198"/>
        <v>N/A</v>
      </c>
      <c r="BV57" s="111">
        <f t="shared" si="221"/>
        <v>1352.7070285876293</v>
      </c>
      <c r="BW57" s="88">
        <f t="shared" si="17"/>
        <v>203.20650910718052</v>
      </c>
      <c r="BX57" s="89">
        <f t="shared" si="18"/>
        <v>192.46890749632115</v>
      </c>
      <c r="BY57" s="89">
        <f t="shared" si="19"/>
        <v>395.67541660350167</v>
      </c>
      <c r="BZ57" s="89">
        <f t="shared" si="20"/>
        <v>447.98613118866956</v>
      </c>
      <c r="CA57" s="89">
        <f t="shared" si="21"/>
        <v>424.31416996543459</v>
      </c>
      <c r="CB57" s="89">
        <f t="shared" si="22"/>
        <v>872.30030115410409</v>
      </c>
      <c r="CC57" s="89">
        <f t="shared" si="23"/>
        <v>927.12969780151116</v>
      </c>
      <c r="CD57" s="89">
        <f t="shared" si="24"/>
        <v>878.13939045196514</v>
      </c>
      <c r="CE57" s="89">
        <f t="shared" si="25"/>
        <v>1805.2690882534762</v>
      </c>
      <c r="CF57" s="89">
        <f t="shared" si="26"/>
        <v>2043.9367235483051</v>
      </c>
      <c r="CG57" s="89">
        <f t="shared" si="27"/>
        <v>1935.9334004672953</v>
      </c>
      <c r="CH57" s="89">
        <f t="shared" si="28"/>
        <v>3979.8701240156006</v>
      </c>
      <c r="CI57" s="41">
        <f t="shared" ref="CI57:CI74" si="226">IF(Z57&gt;0,((BC57+PV($BY$2,$CB$2,-BF57,0,0))/Z57),0)</f>
        <v>0</v>
      </c>
      <c r="CJ57" s="41">
        <f t="shared" ref="CJ57:CJ74" si="227">IF(Y57&gt;0,((BD57+PV($BY$2,$CB$2,-BG57,0,0))/Y57),0)</f>
        <v>0</v>
      </c>
      <c r="CK57" s="41">
        <f t="shared" ref="CK57:CK74" si="228">IF(AE57&gt;0,((BC57+PV($BY$2,$CB$2,-BF57,0,0))/AE57),0)</f>
        <v>0</v>
      </c>
      <c r="CL57" s="41">
        <f t="shared" ref="CL57:CL74" si="229">IF(AD57&gt;0,((BD57+PV($BY$2,$CB$2,-BG57,0,0))/AD57),0)</f>
        <v>0</v>
      </c>
      <c r="CM57" s="346">
        <f t="shared" si="29"/>
        <v>203.20650910718052</v>
      </c>
      <c r="CN57" s="204">
        <f t="shared" si="30"/>
        <v>192.46890749632115</v>
      </c>
      <c r="CO57" s="204">
        <f t="shared" si="44"/>
        <v>395.67541660350167</v>
      </c>
      <c r="CP57" s="204">
        <f t="shared" si="31"/>
        <v>447.98613118866956</v>
      </c>
      <c r="CQ57" s="204">
        <f t="shared" si="32"/>
        <v>424.31416996543459</v>
      </c>
      <c r="CR57" s="204">
        <f t="shared" si="45"/>
        <v>872.30030115410409</v>
      </c>
      <c r="CS57" s="204">
        <f t="shared" si="33"/>
        <v>1236.172930402015</v>
      </c>
      <c r="CT57" s="204">
        <f t="shared" si="34"/>
        <v>1170.8525206026202</v>
      </c>
      <c r="CU57" s="204">
        <f t="shared" si="46"/>
        <v>2407.0254510046352</v>
      </c>
      <c r="CV57" s="204">
        <f t="shared" si="35"/>
        <v>2725.2489647310736</v>
      </c>
      <c r="CW57" s="204">
        <f t="shared" si="36"/>
        <v>2581.2445339563938</v>
      </c>
      <c r="CX57" s="204">
        <f t="shared" si="47"/>
        <v>5306.4934986874669</v>
      </c>
      <c r="CY57" s="286" t="s">
        <v>308</v>
      </c>
      <c r="CZ57" s="285" t="s">
        <v>56</v>
      </c>
      <c r="DA57" s="285" t="s">
        <v>57</v>
      </c>
      <c r="DB57" s="285" t="s">
        <v>331</v>
      </c>
      <c r="DC57" s="285" t="s">
        <v>57</v>
      </c>
      <c r="DD57" s="271" t="s">
        <v>145</v>
      </c>
      <c r="DE57" s="271" t="s">
        <v>148</v>
      </c>
      <c r="DF57" s="285" t="s">
        <v>56</v>
      </c>
      <c r="DG57" s="285" t="s">
        <v>56</v>
      </c>
      <c r="DH57" s="285" t="s">
        <v>57</v>
      </c>
      <c r="DI57" s="285" t="s">
        <v>57</v>
      </c>
      <c r="DJ57" s="272" t="s">
        <v>77</v>
      </c>
      <c r="DK57" s="272" t="s">
        <v>77</v>
      </c>
      <c r="DL57" s="272" t="s">
        <v>77</v>
      </c>
      <c r="DM57" s="271" t="s">
        <v>356</v>
      </c>
      <c r="DN57" s="272" t="s">
        <v>113</v>
      </c>
      <c r="DO57" s="520" t="s">
        <v>834</v>
      </c>
      <c r="DP57" s="520"/>
      <c r="DQ57" s="527" t="s">
        <v>907</v>
      </c>
      <c r="DR57" s="531" t="s">
        <v>908</v>
      </c>
      <c r="DS57" s="271" t="s">
        <v>382</v>
      </c>
      <c r="DT57" s="105" t="s">
        <v>147</v>
      </c>
      <c r="DU57" s="28"/>
      <c r="DV57" s="28"/>
      <c r="DW57" s="28"/>
      <c r="DX57" s="28"/>
      <c r="DY57" s="28"/>
      <c r="DZ57" s="28"/>
      <c r="EA57" s="28"/>
      <c r="EB57" s="28"/>
    </row>
    <row r="58" spans="1:132" ht="267.75" customHeight="1" x14ac:dyDescent="0.2">
      <c r="A58" s="759"/>
      <c r="B58" s="282" t="s">
        <v>31</v>
      </c>
      <c r="C58" s="84"/>
      <c r="D58" s="235">
        <v>605</v>
      </c>
      <c r="E58" s="271" t="s">
        <v>812</v>
      </c>
      <c r="F58" s="272" t="s">
        <v>102</v>
      </c>
      <c r="G58" s="272" t="s">
        <v>103</v>
      </c>
      <c r="H58" s="276" t="s">
        <v>130</v>
      </c>
      <c r="I58" s="275" t="s">
        <v>782</v>
      </c>
      <c r="J58" s="271" t="s">
        <v>149</v>
      </c>
      <c r="K58" s="259" t="s">
        <v>617</v>
      </c>
      <c r="L58" s="272" t="s">
        <v>11</v>
      </c>
      <c r="M58" s="307">
        <v>1000000</v>
      </c>
      <c r="N58" s="11" t="s">
        <v>77</v>
      </c>
      <c r="O58" s="11" t="s">
        <v>77</v>
      </c>
      <c r="P58" s="303">
        <f t="shared" si="213"/>
        <v>6250</v>
      </c>
      <c r="Q58" s="589">
        <v>26.25</v>
      </c>
      <c r="R58" s="101">
        <f t="shared" si="222"/>
        <v>8</v>
      </c>
      <c r="S58" s="590">
        <f>(1-10/Q58)*100</f>
        <v>61.904761904761905</v>
      </c>
      <c r="T58" s="590">
        <f t="shared" si="223"/>
        <v>61.904761904761905</v>
      </c>
      <c r="U58" s="4">
        <v>60</v>
      </c>
      <c r="V58" s="4">
        <v>72</v>
      </c>
      <c r="W58" s="189">
        <f t="shared" si="214"/>
        <v>0.61904761904761907</v>
      </c>
      <c r="X58" s="51" t="s">
        <v>373</v>
      </c>
      <c r="Y58" s="145">
        <f t="shared" si="205"/>
        <v>49466.625</v>
      </c>
      <c r="Z58" s="145">
        <f t="shared" si="206"/>
        <v>49466.625</v>
      </c>
      <c r="AA58" s="145">
        <f t="shared" si="207"/>
        <v>22438.061099999999</v>
      </c>
      <c r="AB58" s="145">
        <f t="shared" si="215"/>
        <v>22438.061099999999</v>
      </c>
      <c r="AC58" s="145">
        <f t="shared" si="216"/>
        <v>22438.061099999999</v>
      </c>
      <c r="AD58" s="145">
        <f t="shared" si="208"/>
        <v>14611.679999999998</v>
      </c>
      <c r="AE58" s="145">
        <f t="shared" si="209"/>
        <v>17534.016</v>
      </c>
      <c r="AF58" s="145">
        <f t="shared" si="217"/>
        <v>6627.8580479999991</v>
      </c>
      <c r="AG58" s="145">
        <f t="shared" si="218"/>
        <v>7953.4296575999997</v>
      </c>
      <c r="AH58" s="76"/>
      <c r="AI58" s="76"/>
      <c r="AJ58" s="97">
        <f>ROUND(((3698.1*$M58^-0.381)*$M58),-3)</f>
        <v>19142000</v>
      </c>
      <c r="AK58" s="76"/>
      <c r="AL58" s="76"/>
      <c r="AM58" s="76">
        <f t="shared" si="196"/>
        <v>19142000</v>
      </c>
      <c r="AN58" s="104">
        <v>0.45</v>
      </c>
      <c r="AO58" s="76">
        <f>$AA$121*5</f>
        <v>1250000</v>
      </c>
      <c r="AP58" s="76"/>
      <c r="AQ58" s="76"/>
      <c r="AR58" s="76">
        <f t="shared" si="224"/>
        <v>28048800</v>
      </c>
      <c r="AS58" s="76"/>
      <c r="AT58" s="76"/>
      <c r="AU58" s="143">
        <f>ROUND(((626.43*$M58^-0.421)*$M58),-3)</f>
        <v>1866000</v>
      </c>
      <c r="AV58" s="76"/>
      <c r="AW58" s="76"/>
      <c r="AX58" s="76">
        <f t="shared" si="197"/>
        <v>1866000</v>
      </c>
      <c r="AY58" s="51">
        <v>0</v>
      </c>
      <c r="AZ58" s="51">
        <v>0</v>
      </c>
      <c r="BA58" s="51">
        <v>0</v>
      </c>
      <c r="BB58" s="327"/>
      <c r="BC58" s="76"/>
      <c r="BD58" s="76"/>
      <c r="BE58" s="76">
        <f t="shared" si="42"/>
        <v>28048800</v>
      </c>
      <c r="BF58" s="76"/>
      <c r="BG58" s="76"/>
      <c r="BH58" s="76">
        <f t="shared" si="7"/>
        <v>1866000</v>
      </c>
      <c r="BI58" s="4">
        <v>10</v>
      </c>
      <c r="BJ58" s="76">
        <v>7000000</v>
      </c>
      <c r="BK58" s="76">
        <f t="shared" si="204"/>
        <v>14000000</v>
      </c>
      <c r="BL58" s="111">
        <f t="shared" si="225"/>
        <v>6935619.1548963198</v>
      </c>
      <c r="BM58" s="4">
        <f t="shared" si="210"/>
        <v>989332.5</v>
      </c>
      <c r="BN58" s="4">
        <f t="shared" si="57"/>
        <v>448761.22200000001</v>
      </c>
      <c r="BO58" s="4">
        <f t="shared" si="201"/>
        <v>321456.95999999996</v>
      </c>
      <c r="BP58" s="4">
        <f t="shared" si="58"/>
        <v>145812.877056</v>
      </c>
      <c r="BQ58" s="324">
        <f t="shared" si="211"/>
        <v>989332.5</v>
      </c>
      <c r="BR58" s="324">
        <f t="shared" si="212"/>
        <v>448761.22200000001</v>
      </c>
      <c r="BS58" s="324">
        <f t="shared" si="202"/>
        <v>241092.71999999997</v>
      </c>
      <c r="BT58" s="324">
        <f t="shared" si="203"/>
        <v>109359.657792</v>
      </c>
      <c r="BU58" s="76" t="str">
        <f t="shared" si="198"/>
        <v>N/A</v>
      </c>
      <c r="BV58" s="111">
        <f t="shared" si="221"/>
        <v>183.48766971408472</v>
      </c>
      <c r="BW58" s="88">
        <f t="shared" si="17"/>
        <v>35.361639443661581</v>
      </c>
      <c r="BX58" s="89">
        <f t="shared" si="18"/>
        <v>23.505226502899291</v>
      </c>
      <c r="BY58" s="89">
        <f t="shared" si="19"/>
        <v>58.866865946560871</v>
      </c>
      <c r="BZ58" s="89">
        <f t="shared" si="20"/>
        <v>77.957758914597832</v>
      </c>
      <c r="CA58" s="89">
        <f t="shared" si="21"/>
        <v>51.819282413799144</v>
      </c>
      <c r="CB58" s="89">
        <f t="shared" si="22"/>
        <v>129.77704132839699</v>
      </c>
      <c r="CC58" s="89">
        <f t="shared" si="23"/>
        <v>108.83080321202665</v>
      </c>
      <c r="CD58" s="89">
        <f t="shared" si="24"/>
        <v>72.340895960627563</v>
      </c>
      <c r="CE58" s="89">
        <f t="shared" si="25"/>
        <v>181.1716991726542</v>
      </c>
      <c r="CF58" s="89">
        <f t="shared" si="26"/>
        <v>239.92681484132856</v>
      </c>
      <c r="CG58" s="89">
        <f t="shared" si="27"/>
        <v>159.4816930348932</v>
      </c>
      <c r="CH58" s="89">
        <f t="shared" si="28"/>
        <v>399.40850787622173</v>
      </c>
      <c r="CI58" s="41">
        <f t="shared" si="226"/>
        <v>0</v>
      </c>
      <c r="CJ58" s="41">
        <f t="shared" si="227"/>
        <v>0</v>
      </c>
      <c r="CK58" s="41">
        <f t="shared" si="228"/>
        <v>0</v>
      </c>
      <c r="CL58" s="41">
        <f t="shared" si="229"/>
        <v>0</v>
      </c>
      <c r="CM58" s="346">
        <f t="shared" si="29"/>
        <v>35.361639443661581</v>
      </c>
      <c r="CN58" s="204">
        <f t="shared" si="30"/>
        <v>23.505226502899291</v>
      </c>
      <c r="CO58" s="204">
        <f t="shared" si="44"/>
        <v>58.866865946560871</v>
      </c>
      <c r="CP58" s="204">
        <f t="shared" si="31"/>
        <v>77.957758914597832</v>
      </c>
      <c r="CQ58" s="204">
        <f t="shared" si="32"/>
        <v>51.819282413799144</v>
      </c>
      <c r="CR58" s="204">
        <f t="shared" si="45"/>
        <v>129.77704132839699</v>
      </c>
      <c r="CS58" s="204">
        <f t="shared" si="33"/>
        <v>145.10773761603554</v>
      </c>
      <c r="CT58" s="204">
        <f t="shared" si="34"/>
        <v>96.454527947503422</v>
      </c>
      <c r="CU58" s="204">
        <f t="shared" si="46"/>
        <v>241.56226556353897</v>
      </c>
      <c r="CV58" s="204">
        <f t="shared" si="35"/>
        <v>319.90241978843812</v>
      </c>
      <c r="CW58" s="204">
        <f t="shared" si="36"/>
        <v>212.6422573798576</v>
      </c>
      <c r="CX58" s="204">
        <f t="shared" si="47"/>
        <v>532.54467716829572</v>
      </c>
      <c r="CY58" s="286" t="s">
        <v>308</v>
      </c>
      <c r="CZ58" s="285" t="s">
        <v>56</v>
      </c>
      <c r="DA58" s="285" t="s">
        <v>57</v>
      </c>
      <c r="DB58" s="285" t="s">
        <v>331</v>
      </c>
      <c r="DC58" s="285" t="s">
        <v>57</v>
      </c>
      <c r="DD58" s="271" t="s">
        <v>150</v>
      </c>
      <c r="DE58" s="271" t="s">
        <v>151</v>
      </c>
      <c r="DF58" s="285" t="s">
        <v>56</v>
      </c>
      <c r="DG58" s="285" t="s">
        <v>56</v>
      </c>
      <c r="DH58" s="285" t="s">
        <v>57</v>
      </c>
      <c r="DI58" s="285" t="s">
        <v>57</v>
      </c>
      <c r="DJ58" s="272" t="s">
        <v>77</v>
      </c>
      <c r="DK58" s="272" t="s">
        <v>77</v>
      </c>
      <c r="DL58" s="272" t="s">
        <v>77</v>
      </c>
      <c r="DM58" s="271" t="s">
        <v>356</v>
      </c>
      <c r="DN58" s="272" t="s">
        <v>113</v>
      </c>
      <c r="DO58" s="520" t="s">
        <v>645</v>
      </c>
      <c r="DP58" s="520"/>
      <c r="DQ58" s="527" t="s">
        <v>909</v>
      </c>
      <c r="DR58" s="531" t="s">
        <v>910</v>
      </c>
      <c r="DS58" s="271"/>
      <c r="DT58" s="106"/>
      <c r="DU58" s="28"/>
      <c r="DV58" s="28"/>
      <c r="DW58" s="28"/>
      <c r="DX58" s="28"/>
      <c r="DY58" s="28"/>
      <c r="DZ58" s="28"/>
      <c r="EA58" s="28"/>
      <c r="EB58" s="28"/>
    </row>
    <row r="59" spans="1:132" ht="169.5" customHeight="1" x14ac:dyDescent="0.2">
      <c r="A59" s="759"/>
      <c r="B59" s="282" t="s">
        <v>32</v>
      </c>
      <c r="C59" s="84"/>
      <c r="D59" s="235">
        <v>606</v>
      </c>
      <c r="E59" s="271" t="s">
        <v>813</v>
      </c>
      <c r="F59" s="272" t="s">
        <v>102</v>
      </c>
      <c r="G59" s="272" t="s">
        <v>103</v>
      </c>
      <c r="H59" s="276" t="s">
        <v>130</v>
      </c>
      <c r="I59" s="275" t="s">
        <v>782</v>
      </c>
      <c r="J59" s="271" t="s">
        <v>149</v>
      </c>
      <c r="K59" s="259" t="s">
        <v>606</v>
      </c>
      <c r="L59" s="272" t="s">
        <v>11</v>
      </c>
      <c r="M59" s="307">
        <v>1000000</v>
      </c>
      <c r="N59" s="11" t="s">
        <v>77</v>
      </c>
      <c r="O59" s="11" t="s">
        <v>77</v>
      </c>
      <c r="P59" s="303">
        <f t="shared" si="213"/>
        <v>6250</v>
      </c>
      <c r="Q59" s="589">
        <v>26.25</v>
      </c>
      <c r="R59" s="101">
        <f t="shared" si="222"/>
        <v>8</v>
      </c>
      <c r="S59" s="590">
        <f>(1-5/Q59)*100</f>
        <v>80.952380952380949</v>
      </c>
      <c r="T59" s="590">
        <f t="shared" si="223"/>
        <v>80.952380952380949</v>
      </c>
      <c r="U59" s="4">
        <v>60</v>
      </c>
      <c r="V59" s="4">
        <v>72</v>
      </c>
      <c r="W59" s="189">
        <f t="shared" si="214"/>
        <v>0.80952380952380953</v>
      </c>
      <c r="X59" s="51" t="s">
        <v>373</v>
      </c>
      <c r="Y59" s="145">
        <f t="shared" si="205"/>
        <v>64687.125</v>
      </c>
      <c r="Z59" s="145">
        <f t="shared" si="206"/>
        <v>64687.125</v>
      </c>
      <c r="AA59" s="145">
        <f t="shared" si="207"/>
        <v>29342.079900000001</v>
      </c>
      <c r="AB59" s="145">
        <f t="shared" si="215"/>
        <v>29342.079900000001</v>
      </c>
      <c r="AC59" s="145">
        <f t="shared" si="216"/>
        <v>29342.079900000001</v>
      </c>
      <c r="AD59" s="145">
        <f t="shared" si="208"/>
        <v>14611.679999999998</v>
      </c>
      <c r="AE59" s="145">
        <f t="shared" si="209"/>
        <v>17534.016</v>
      </c>
      <c r="AF59" s="145">
        <f t="shared" si="217"/>
        <v>6627.8580479999991</v>
      </c>
      <c r="AG59" s="145">
        <f t="shared" si="218"/>
        <v>7953.4296575999997</v>
      </c>
      <c r="AH59" s="76"/>
      <c r="AI59" s="76"/>
      <c r="AJ59" s="97">
        <f>ROUND((((3698.1*$M59^-0.381)*$M59)*1.2),-3)</f>
        <v>22970000</v>
      </c>
      <c r="AK59" s="76"/>
      <c r="AL59" s="76"/>
      <c r="AM59" s="76">
        <f t="shared" si="196"/>
        <v>22970000</v>
      </c>
      <c r="AN59" s="104">
        <v>0.4</v>
      </c>
      <c r="AO59" s="76">
        <f>$AA$121*5</f>
        <v>1250000</v>
      </c>
      <c r="AP59" s="76"/>
      <c r="AQ59" s="76"/>
      <c r="AR59" s="76">
        <f t="shared" si="224"/>
        <v>33407999.999999996</v>
      </c>
      <c r="AS59" s="76"/>
      <c r="AT59" s="76"/>
      <c r="AU59" s="143">
        <f>ROUND((((626.43*$M59^-0.421)*$M59)*1.2),-3)</f>
        <v>2239000</v>
      </c>
      <c r="AV59" s="76"/>
      <c r="AW59" s="76"/>
      <c r="AX59" s="76">
        <f t="shared" si="197"/>
        <v>2239000</v>
      </c>
      <c r="AY59" s="51">
        <v>0</v>
      </c>
      <c r="AZ59" s="51">
        <v>0</v>
      </c>
      <c r="BA59" s="51">
        <v>0</v>
      </c>
      <c r="BB59" s="327"/>
      <c r="BC59" s="76"/>
      <c r="BD59" s="76"/>
      <c r="BE59" s="76">
        <f t="shared" si="42"/>
        <v>33407999.999999996</v>
      </c>
      <c r="BF59" s="76"/>
      <c r="BG59" s="76"/>
      <c r="BH59" s="76">
        <f t="shared" si="7"/>
        <v>2239000</v>
      </c>
      <c r="BI59" s="4">
        <v>10</v>
      </c>
      <c r="BJ59" s="76">
        <v>8000000</v>
      </c>
      <c r="BK59" s="76">
        <f t="shared" si="204"/>
        <v>16000000</v>
      </c>
      <c r="BL59" s="111">
        <f t="shared" si="225"/>
        <v>7926421.891310079</v>
      </c>
      <c r="BM59" s="4">
        <f t="shared" si="210"/>
        <v>1293742.5</v>
      </c>
      <c r="BN59" s="4">
        <f t="shared" si="57"/>
        <v>586841.598</v>
      </c>
      <c r="BO59" s="4">
        <f t="shared" si="201"/>
        <v>321456.95999999996</v>
      </c>
      <c r="BP59" s="4">
        <f t="shared" si="58"/>
        <v>145812.877056</v>
      </c>
      <c r="BQ59" s="324">
        <f t="shared" si="211"/>
        <v>1293742.5</v>
      </c>
      <c r="BR59" s="324">
        <f t="shared" si="212"/>
        <v>586841.598</v>
      </c>
      <c r="BS59" s="324">
        <f t="shared" si="202"/>
        <v>241092.71999999997</v>
      </c>
      <c r="BT59" s="324">
        <f t="shared" si="203"/>
        <v>109359.657792</v>
      </c>
      <c r="BU59" s="76" t="str">
        <f t="shared" si="198"/>
        <v>N/A</v>
      </c>
      <c r="BV59" s="111">
        <f t="shared" si="221"/>
        <v>167.68476946625086</v>
      </c>
      <c r="BW59" s="88">
        <f t="shared" si="17"/>
        <v>31.949496821284043</v>
      </c>
      <c r="BX59" s="89">
        <f t="shared" si="18"/>
        <v>21.567575430927739</v>
      </c>
      <c r="BY59" s="89">
        <f t="shared" si="19"/>
        <v>53.517072252211783</v>
      </c>
      <c r="BZ59" s="89">
        <f t="shared" si="20"/>
        <v>70.435398635987752</v>
      </c>
      <c r="CA59" s="89">
        <f t="shared" si="21"/>
        <v>47.547564882997655</v>
      </c>
      <c r="CB59" s="89">
        <f t="shared" si="22"/>
        <v>117.9829635189854</v>
      </c>
      <c r="CC59" s="89">
        <f t="shared" si="23"/>
        <v>128.58462262353902</v>
      </c>
      <c r="CD59" s="89">
        <f t="shared" si="24"/>
        <v>86.801321573336082</v>
      </c>
      <c r="CE59" s="89">
        <f t="shared" si="25"/>
        <v>215.3859441968751</v>
      </c>
      <c r="CF59" s="89">
        <f t="shared" si="26"/>
        <v>283.47579943460983</v>
      </c>
      <c r="CG59" s="89">
        <f t="shared" si="27"/>
        <v>191.36093821282202</v>
      </c>
      <c r="CH59" s="89">
        <f t="shared" si="28"/>
        <v>474.83673764743185</v>
      </c>
      <c r="CI59" s="41">
        <f t="shared" si="226"/>
        <v>0</v>
      </c>
      <c r="CJ59" s="41">
        <f t="shared" si="227"/>
        <v>0</v>
      </c>
      <c r="CK59" s="41">
        <f t="shared" si="228"/>
        <v>0</v>
      </c>
      <c r="CL59" s="41">
        <f t="shared" si="229"/>
        <v>0</v>
      </c>
      <c r="CM59" s="346">
        <f t="shared" si="29"/>
        <v>31.949496821284043</v>
      </c>
      <c r="CN59" s="204">
        <f t="shared" si="30"/>
        <v>21.567575430927739</v>
      </c>
      <c r="CO59" s="204">
        <f t="shared" si="44"/>
        <v>53.517072252211783</v>
      </c>
      <c r="CP59" s="204">
        <f t="shared" si="31"/>
        <v>70.435398635987752</v>
      </c>
      <c r="CQ59" s="204">
        <f t="shared" si="32"/>
        <v>47.547564882997655</v>
      </c>
      <c r="CR59" s="204">
        <f t="shared" si="45"/>
        <v>117.9829635189854</v>
      </c>
      <c r="CS59" s="204">
        <f t="shared" si="33"/>
        <v>171.44616349805202</v>
      </c>
      <c r="CT59" s="204">
        <f t="shared" si="34"/>
        <v>115.73509543111477</v>
      </c>
      <c r="CU59" s="204">
        <f t="shared" si="46"/>
        <v>287.1812589291668</v>
      </c>
      <c r="CV59" s="204">
        <f t="shared" si="35"/>
        <v>377.96773257947973</v>
      </c>
      <c r="CW59" s="204">
        <f t="shared" si="36"/>
        <v>255.14791761709603</v>
      </c>
      <c r="CX59" s="204">
        <f t="shared" si="47"/>
        <v>633.11565019657576</v>
      </c>
      <c r="CY59" s="286" t="s">
        <v>308</v>
      </c>
      <c r="CZ59" s="285" t="s">
        <v>56</v>
      </c>
      <c r="DA59" s="285" t="s">
        <v>57</v>
      </c>
      <c r="DB59" s="285" t="s">
        <v>331</v>
      </c>
      <c r="DC59" s="285" t="s">
        <v>57</v>
      </c>
      <c r="DD59" s="271" t="s">
        <v>150</v>
      </c>
      <c r="DE59" s="271" t="s">
        <v>152</v>
      </c>
      <c r="DF59" s="285" t="s">
        <v>56</v>
      </c>
      <c r="DG59" s="285" t="s">
        <v>56</v>
      </c>
      <c r="DH59" s="285" t="s">
        <v>57</v>
      </c>
      <c r="DI59" s="285" t="s">
        <v>57</v>
      </c>
      <c r="DJ59" s="272" t="s">
        <v>77</v>
      </c>
      <c r="DK59" s="272" t="s">
        <v>77</v>
      </c>
      <c r="DL59" s="272" t="s">
        <v>77</v>
      </c>
      <c r="DM59" s="271" t="s">
        <v>356</v>
      </c>
      <c r="DN59" s="272" t="s">
        <v>113</v>
      </c>
      <c r="DO59" s="520" t="s">
        <v>645</v>
      </c>
      <c r="DP59" s="520"/>
      <c r="DQ59" s="527" t="s">
        <v>911</v>
      </c>
      <c r="DR59" s="531" t="s">
        <v>912</v>
      </c>
      <c r="DS59" s="271" t="s">
        <v>383</v>
      </c>
      <c r="DT59" s="106"/>
      <c r="DU59" s="28"/>
      <c r="DV59" s="28"/>
      <c r="DW59" s="28"/>
      <c r="DX59" s="28"/>
      <c r="DY59" s="28"/>
      <c r="DZ59" s="28"/>
      <c r="EA59" s="28"/>
      <c r="EB59" s="28"/>
    </row>
    <row r="60" spans="1:132" ht="165" customHeight="1" x14ac:dyDescent="0.2">
      <c r="A60" s="759"/>
      <c r="B60" s="282" t="s">
        <v>33</v>
      </c>
      <c r="C60" s="84"/>
      <c r="D60" s="235">
        <v>607</v>
      </c>
      <c r="E60" s="271" t="s">
        <v>814</v>
      </c>
      <c r="F60" s="272" t="s">
        <v>102</v>
      </c>
      <c r="G60" s="272" t="s">
        <v>103</v>
      </c>
      <c r="H60" s="276" t="s">
        <v>130</v>
      </c>
      <c r="I60" s="275" t="s">
        <v>782</v>
      </c>
      <c r="J60" s="271" t="s">
        <v>149</v>
      </c>
      <c r="K60" s="259" t="s">
        <v>607</v>
      </c>
      <c r="L60" s="272" t="s">
        <v>11</v>
      </c>
      <c r="M60" s="307">
        <v>100000</v>
      </c>
      <c r="N60" s="11" t="s">
        <v>77</v>
      </c>
      <c r="O60" s="11" t="s">
        <v>77</v>
      </c>
      <c r="P60" s="303">
        <f t="shared" si="213"/>
        <v>625</v>
      </c>
      <c r="Q60" s="589">
        <v>26.25</v>
      </c>
      <c r="R60" s="101">
        <f t="shared" si="222"/>
        <v>8</v>
      </c>
      <c r="S60" s="590">
        <f>(1-8/Q60)*100</f>
        <v>69.523809523809518</v>
      </c>
      <c r="T60" s="590">
        <f t="shared" si="223"/>
        <v>69.523809523809518</v>
      </c>
      <c r="U60" s="4">
        <v>60</v>
      </c>
      <c r="V60" s="4">
        <v>72</v>
      </c>
      <c r="W60" s="189">
        <f t="shared" si="214"/>
        <v>0.6952380952380951</v>
      </c>
      <c r="X60" s="51" t="s">
        <v>373</v>
      </c>
      <c r="Y60" s="145">
        <f t="shared" si="205"/>
        <v>5555.4825000000001</v>
      </c>
      <c r="Z60" s="145">
        <f t="shared" si="206"/>
        <v>5555.4825000000001</v>
      </c>
      <c r="AA60" s="145">
        <f t="shared" si="207"/>
        <v>2519.9668620000002</v>
      </c>
      <c r="AB60" s="145">
        <f t="shared" si="215"/>
        <v>2519.9668620000002</v>
      </c>
      <c r="AC60" s="145">
        <f t="shared" si="216"/>
        <v>2519.9668620000002</v>
      </c>
      <c r="AD60" s="145">
        <f t="shared" si="208"/>
        <v>1461.1680000000001</v>
      </c>
      <c r="AE60" s="145">
        <f t="shared" si="209"/>
        <v>1753.4016000000001</v>
      </c>
      <c r="AF60" s="145">
        <f t="shared" si="217"/>
        <v>662.78580480000005</v>
      </c>
      <c r="AG60" s="145">
        <f t="shared" si="218"/>
        <v>795.34296576000008</v>
      </c>
      <c r="AH60" s="76"/>
      <c r="AI60" s="76"/>
      <c r="AJ60" s="97">
        <f>ROUND(((3698.1*$M60^-0.381)*$M60),-3)</f>
        <v>4602000</v>
      </c>
      <c r="AK60" s="76"/>
      <c r="AL60" s="76"/>
      <c r="AM60" s="76">
        <f t="shared" si="196"/>
        <v>4602000</v>
      </c>
      <c r="AN60" s="104">
        <v>0.45</v>
      </c>
      <c r="AO60" s="76">
        <f>$AA$121*2.5</f>
        <v>625000</v>
      </c>
      <c r="AP60" s="76"/>
      <c r="AQ60" s="76"/>
      <c r="AR60" s="76">
        <f t="shared" si="224"/>
        <v>7067800</v>
      </c>
      <c r="AS60" s="76"/>
      <c r="AT60" s="76"/>
      <c r="AU60" s="143">
        <f>ROUND(((626.43*$M60^-0.421)*$M60),-3)</f>
        <v>492000</v>
      </c>
      <c r="AV60" s="76"/>
      <c r="AW60" s="76"/>
      <c r="AX60" s="76">
        <f t="shared" si="197"/>
        <v>492000</v>
      </c>
      <c r="AY60" s="51">
        <v>0</v>
      </c>
      <c r="AZ60" s="51">
        <v>0</v>
      </c>
      <c r="BA60" s="51">
        <v>0</v>
      </c>
      <c r="BB60" s="327"/>
      <c r="BC60" s="76"/>
      <c r="BD60" s="76"/>
      <c r="BE60" s="76">
        <f t="shared" si="42"/>
        <v>7067800</v>
      </c>
      <c r="BF60" s="76"/>
      <c r="BG60" s="76"/>
      <c r="BH60" s="76">
        <f t="shared" si="7"/>
        <v>492000</v>
      </c>
      <c r="BI60" s="4">
        <v>10</v>
      </c>
      <c r="BJ60" s="76">
        <v>2000000</v>
      </c>
      <c r="BK60" s="76">
        <f t="shared" si="204"/>
        <v>4000000</v>
      </c>
      <c r="BL60" s="111">
        <f t="shared" si="225"/>
        <v>1981605.4728275198</v>
      </c>
      <c r="BM60" s="4">
        <f t="shared" si="210"/>
        <v>111109.65</v>
      </c>
      <c r="BN60" s="4">
        <f t="shared" si="57"/>
        <v>50399.337240000001</v>
      </c>
      <c r="BO60" s="4">
        <f t="shared" si="201"/>
        <v>32145.696000000004</v>
      </c>
      <c r="BP60" s="4">
        <f t="shared" si="58"/>
        <v>14581.287705600002</v>
      </c>
      <c r="BQ60" s="324">
        <f t="shared" si="211"/>
        <v>111109.65</v>
      </c>
      <c r="BR60" s="324">
        <f t="shared" si="212"/>
        <v>50399.337240000001</v>
      </c>
      <c r="BS60" s="324">
        <f t="shared" si="202"/>
        <v>24109.272000000004</v>
      </c>
      <c r="BT60" s="324">
        <f t="shared" si="203"/>
        <v>10935.965779200002</v>
      </c>
      <c r="BU60" s="76" t="str">
        <f t="shared" si="198"/>
        <v>N/A</v>
      </c>
      <c r="BV60" s="111">
        <f t="shared" si="221"/>
        <v>420.33852956636736</v>
      </c>
      <c r="BW60" s="88">
        <f t="shared" si="17"/>
        <v>81.445720266669198</v>
      </c>
      <c r="BX60" s="89">
        <f t="shared" si="18"/>
        <v>55.183393058385775</v>
      </c>
      <c r="BY60" s="89">
        <f t="shared" si="19"/>
        <v>136.62911332505496</v>
      </c>
      <c r="BZ60" s="89">
        <f t="shared" si="20"/>
        <v>179.55405702528481</v>
      </c>
      <c r="CA60" s="89">
        <f t="shared" si="21"/>
        <v>121.6565102698099</v>
      </c>
      <c r="CB60" s="89">
        <f t="shared" si="22"/>
        <v>301.21056729509473</v>
      </c>
      <c r="CC60" s="89">
        <f t="shared" si="23"/>
        <v>281.51219599748345</v>
      </c>
      <c r="CD60" s="89">
        <f t="shared" si="24"/>
        <v>190.73805365824626</v>
      </c>
      <c r="CE60" s="89">
        <f t="shared" si="25"/>
        <v>472.2502496557297</v>
      </c>
      <c r="CF60" s="89">
        <f t="shared" si="26"/>
        <v>620.61771604383478</v>
      </c>
      <c r="CG60" s="89">
        <f t="shared" si="27"/>
        <v>420.49835462576334</v>
      </c>
      <c r="CH60" s="89">
        <f t="shared" si="28"/>
        <v>1041.1160706695982</v>
      </c>
      <c r="CI60" s="41">
        <f t="shared" si="226"/>
        <v>0</v>
      </c>
      <c r="CJ60" s="41">
        <f t="shared" si="227"/>
        <v>0</v>
      </c>
      <c r="CK60" s="41">
        <f t="shared" si="228"/>
        <v>0</v>
      </c>
      <c r="CL60" s="41">
        <f t="shared" si="229"/>
        <v>0</v>
      </c>
      <c r="CM60" s="346">
        <f t="shared" si="29"/>
        <v>81.445720266669198</v>
      </c>
      <c r="CN60" s="204">
        <f t="shared" si="30"/>
        <v>55.183393058385775</v>
      </c>
      <c r="CO60" s="204">
        <f t="shared" si="44"/>
        <v>136.62911332505496</v>
      </c>
      <c r="CP60" s="204">
        <f t="shared" si="31"/>
        <v>179.55405702528481</v>
      </c>
      <c r="CQ60" s="204">
        <f t="shared" si="32"/>
        <v>121.6565102698099</v>
      </c>
      <c r="CR60" s="204">
        <f t="shared" si="45"/>
        <v>301.21056729509473</v>
      </c>
      <c r="CS60" s="204">
        <f t="shared" si="33"/>
        <v>375.34959466331122</v>
      </c>
      <c r="CT60" s="204">
        <f t="shared" si="34"/>
        <v>254.31740487766166</v>
      </c>
      <c r="CU60" s="204">
        <f t="shared" si="46"/>
        <v>629.66699954097294</v>
      </c>
      <c r="CV60" s="204">
        <f t="shared" si="35"/>
        <v>827.49028805844625</v>
      </c>
      <c r="CW60" s="204">
        <f t="shared" si="36"/>
        <v>560.66447283435116</v>
      </c>
      <c r="CX60" s="204">
        <f t="shared" si="47"/>
        <v>1388.1547608927974</v>
      </c>
      <c r="CY60" s="286" t="s">
        <v>308</v>
      </c>
      <c r="CZ60" s="285" t="s">
        <v>56</v>
      </c>
      <c r="DA60" s="285" t="s">
        <v>57</v>
      </c>
      <c r="DB60" s="285" t="s">
        <v>331</v>
      </c>
      <c r="DC60" s="285" t="s">
        <v>57</v>
      </c>
      <c r="DD60" s="271" t="s">
        <v>150</v>
      </c>
      <c r="DE60" s="271" t="s">
        <v>151</v>
      </c>
      <c r="DF60" s="285" t="s">
        <v>56</v>
      </c>
      <c r="DG60" s="285" t="s">
        <v>56</v>
      </c>
      <c r="DH60" s="285" t="s">
        <v>57</v>
      </c>
      <c r="DI60" s="285" t="s">
        <v>57</v>
      </c>
      <c r="DJ60" s="272" t="s">
        <v>77</v>
      </c>
      <c r="DK60" s="272" t="s">
        <v>77</v>
      </c>
      <c r="DL60" s="272" t="s">
        <v>77</v>
      </c>
      <c r="DM60" s="271" t="s">
        <v>356</v>
      </c>
      <c r="DN60" s="272" t="s">
        <v>113</v>
      </c>
      <c r="DO60" s="520" t="s">
        <v>645</v>
      </c>
      <c r="DP60" s="520"/>
      <c r="DQ60" s="527" t="s">
        <v>913</v>
      </c>
      <c r="DR60" s="531" t="s">
        <v>914</v>
      </c>
      <c r="DS60" s="271" t="s">
        <v>141</v>
      </c>
      <c r="DT60" s="106"/>
      <c r="DU60" s="28"/>
      <c r="DV60" s="28"/>
      <c r="DW60" s="28"/>
      <c r="DX60" s="28"/>
      <c r="DY60" s="28"/>
      <c r="DZ60" s="28"/>
      <c r="EA60" s="28"/>
      <c r="EB60" s="28"/>
    </row>
    <row r="61" spans="1:132" ht="213.75" customHeight="1" x14ac:dyDescent="0.2">
      <c r="A61" s="761"/>
      <c r="B61" s="282" t="s">
        <v>34</v>
      </c>
      <c r="C61" s="84"/>
      <c r="D61" s="235">
        <v>608</v>
      </c>
      <c r="E61" s="271" t="s">
        <v>815</v>
      </c>
      <c r="F61" s="272" t="s">
        <v>102</v>
      </c>
      <c r="G61" s="272" t="s">
        <v>103</v>
      </c>
      <c r="H61" s="276" t="s">
        <v>130</v>
      </c>
      <c r="I61" s="275" t="s">
        <v>782</v>
      </c>
      <c r="J61" s="271" t="s">
        <v>149</v>
      </c>
      <c r="K61" s="259" t="s">
        <v>608</v>
      </c>
      <c r="L61" s="272" t="s">
        <v>11</v>
      </c>
      <c r="M61" s="307">
        <v>100000</v>
      </c>
      <c r="N61" s="11" t="s">
        <v>77</v>
      </c>
      <c r="O61" s="11" t="s">
        <v>77</v>
      </c>
      <c r="P61" s="303">
        <f t="shared" si="213"/>
        <v>625</v>
      </c>
      <c r="Q61" s="589">
        <v>26.25</v>
      </c>
      <c r="R61" s="101">
        <f t="shared" si="222"/>
        <v>8</v>
      </c>
      <c r="S61" s="590">
        <f>(1-6/Q61)*100</f>
        <v>77.142857142857153</v>
      </c>
      <c r="T61" s="590">
        <f t="shared" si="223"/>
        <v>77.142857142857153</v>
      </c>
      <c r="U61" s="4">
        <v>60</v>
      </c>
      <c r="V61" s="4">
        <v>72</v>
      </c>
      <c r="W61" s="189">
        <f t="shared" si="214"/>
        <v>0.77142857142857157</v>
      </c>
      <c r="X61" s="51" t="s">
        <v>373</v>
      </c>
      <c r="Y61" s="145">
        <f t="shared" si="205"/>
        <v>6164.3025000000016</v>
      </c>
      <c r="Z61" s="145">
        <f t="shared" si="206"/>
        <v>6164.3025000000016</v>
      </c>
      <c r="AA61" s="145">
        <f t="shared" si="207"/>
        <v>2796.1276140000009</v>
      </c>
      <c r="AB61" s="145">
        <f t="shared" si="215"/>
        <v>2796.1276140000009</v>
      </c>
      <c r="AC61" s="145">
        <f t="shared" si="216"/>
        <v>2796.1276140000009</v>
      </c>
      <c r="AD61" s="145">
        <f t="shared" si="208"/>
        <v>1461.1680000000001</v>
      </c>
      <c r="AE61" s="145">
        <f t="shared" si="209"/>
        <v>1753.4016000000001</v>
      </c>
      <c r="AF61" s="145">
        <f t="shared" si="217"/>
        <v>662.78580480000005</v>
      </c>
      <c r="AG61" s="145">
        <f t="shared" si="218"/>
        <v>795.34296576000008</v>
      </c>
      <c r="AH61" s="76"/>
      <c r="AI61" s="76"/>
      <c r="AJ61" s="97">
        <f>ROUND((((3698.1*$M61^-0.381)*$M61)*1.2),-3)</f>
        <v>5523000</v>
      </c>
      <c r="AK61" s="76"/>
      <c r="AL61" s="76"/>
      <c r="AM61" s="76">
        <f t="shared" si="196"/>
        <v>5523000</v>
      </c>
      <c r="AN61" s="104">
        <v>0.4</v>
      </c>
      <c r="AO61" s="76">
        <f>$AA$121*2.5</f>
        <v>625000</v>
      </c>
      <c r="AP61" s="76"/>
      <c r="AQ61" s="76"/>
      <c r="AR61" s="76">
        <f t="shared" si="224"/>
        <v>8357199.9999999991</v>
      </c>
      <c r="AS61" s="76"/>
      <c r="AT61" s="76"/>
      <c r="AU61" s="143">
        <f>ROUND((((626.43*$M61^-0.421)*$M61)*1.2),-3)</f>
        <v>590000</v>
      </c>
      <c r="AV61" s="76"/>
      <c r="AW61" s="76"/>
      <c r="AX61" s="76">
        <f t="shared" si="197"/>
        <v>590000</v>
      </c>
      <c r="AY61" s="51">
        <v>0</v>
      </c>
      <c r="AZ61" s="51">
        <v>0</v>
      </c>
      <c r="BA61" s="51">
        <v>0</v>
      </c>
      <c r="BB61" s="327"/>
      <c r="BC61" s="76"/>
      <c r="BD61" s="76"/>
      <c r="BE61" s="76">
        <f t="shared" si="42"/>
        <v>8357199.9999999991</v>
      </c>
      <c r="BF61" s="76"/>
      <c r="BG61" s="76"/>
      <c r="BH61" s="76">
        <f t="shared" si="7"/>
        <v>590000</v>
      </c>
      <c r="BI61" s="4">
        <v>10</v>
      </c>
      <c r="BJ61" s="76">
        <v>2500000</v>
      </c>
      <c r="BK61" s="76">
        <f t="shared" si="204"/>
        <v>5000000</v>
      </c>
      <c r="BL61" s="111">
        <f t="shared" si="225"/>
        <v>2477006.8410343998</v>
      </c>
      <c r="BM61" s="4">
        <f t="shared" si="210"/>
        <v>123286.05000000003</v>
      </c>
      <c r="BN61" s="4">
        <f t="shared" si="57"/>
        <v>55922.552280000018</v>
      </c>
      <c r="BO61" s="4">
        <f t="shared" si="201"/>
        <v>32145.696000000004</v>
      </c>
      <c r="BP61" s="4">
        <f t="shared" si="58"/>
        <v>14581.287705600002</v>
      </c>
      <c r="BQ61" s="324">
        <f t="shared" si="211"/>
        <v>123286.05000000003</v>
      </c>
      <c r="BR61" s="324">
        <f t="shared" si="212"/>
        <v>55922.552280000018</v>
      </c>
      <c r="BS61" s="324">
        <f t="shared" si="202"/>
        <v>24109.272000000004</v>
      </c>
      <c r="BT61" s="324">
        <f t="shared" si="203"/>
        <v>10935.965779200002</v>
      </c>
      <c r="BU61" s="76" t="str">
        <f t="shared" si="198"/>
        <v>N/A</v>
      </c>
      <c r="BV61" s="111">
        <f t="shared" si="221"/>
        <v>450.88153526474491</v>
      </c>
      <c r="BW61" s="88">
        <f t="shared" si="17"/>
        <v>87.878611092125965</v>
      </c>
      <c r="BX61" s="89">
        <f t="shared" si="18"/>
        <v>59.639384197146306</v>
      </c>
      <c r="BY61" s="89">
        <f t="shared" si="19"/>
        <v>147.51799528927228</v>
      </c>
      <c r="BZ61" s="89">
        <f t="shared" si="20"/>
        <v>193.73591510609779</v>
      </c>
      <c r="CA61" s="89">
        <f t="shared" si="21"/>
        <v>131.48012389141601</v>
      </c>
      <c r="CB61" s="89">
        <f t="shared" si="22"/>
        <v>325.21603899751381</v>
      </c>
      <c r="CC61" s="89">
        <f t="shared" si="23"/>
        <v>337.03444594991498</v>
      </c>
      <c r="CD61" s="89">
        <f t="shared" si="24"/>
        <v>228.73059280155547</v>
      </c>
      <c r="CE61" s="89">
        <f t="shared" si="25"/>
        <v>565.76503875147046</v>
      </c>
      <c r="CF61" s="89">
        <f t="shared" si="26"/>
        <v>743.02126532168211</v>
      </c>
      <c r="CG61" s="89">
        <f t="shared" si="27"/>
        <v>504.25615696991952</v>
      </c>
      <c r="CH61" s="89">
        <f t="shared" si="28"/>
        <v>1247.2774222916016</v>
      </c>
      <c r="CI61" s="41">
        <f t="shared" si="226"/>
        <v>0</v>
      </c>
      <c r="CJ61" s="41">
        <f t="shared" si="227"/>
        <v>0</v>
      </c>
      <c r="CK61" s="41">
        <f t="shared" si="228"/>
        <v>0</v>
      </c>
      <c r="CL61" s="41">
        <f t="shared" si="229"/>
        <v>0</v>
      </c>
      <c r="CM61" s="346">
        <f t="shared" si="29"/>
        <v>87.878611092125965</v>
      </c>
      <c r="CN61" s="204">
        <f t="shared" si="30"/>
        <v>59.639384197146306</v>
      </c>
      <c r="CO61" s="204">
        <f t="shared" si="44"/>
        <v>147.51799528927228</v>
      </c>
      <c r="CP61" s="204">
        <f t="shared" si="31"/>
        <v>193.73591510609779</v>
      </c>
      <c r="CQ61" s="204">
        <f t="shared" si="32"/>
        <v>131.48012389141601</v>
      </c>
      <c r="CR61" s="204">
        <f t="shared" si="45"/>
        <v>325.21603899751381</v>
      </c>
      <c r="CS61" s="204">
        <f t="shared" si="33"/>
        <v>449.37926126655327</v>
      </c>
      <c r="CT61" s="204">
        <f t="shared" si="34"/>
        <v>304.97412373540726</v>
      </c>
      <c r="CU61" s="204">
        <f t="shared" si="46"/>
        <v>754.35338500196053</v>
      </c>
      <c r="CV61" s="204">
        <f t="shared" si="35"/>
        <v>990.6950204289094</v>
      </c>
      <c r="CW61" s="204">
        <f t="shared" si="36"/>
        <v>672.34154262655932</v>
      </c>
      <c r="CX61" s="204">
        <f t="shared" si="47"/>
        <v>1663.0365630554688</v>
      </c>
      <c r="CY61" s="286" t="s">
        <v>308</v>
      </c>
      <c r="CZ61" s="285" t="s">
        <v>56</v>
      </c>
      <c r="DA61" s="285" t="s">
        <v>57</v>
      </c>
      <c r="DB61" s="285" t="s">
        <v>331</v>
      </c>
      <c r="DC61" s="285" t="s">
        <v>57</v>
      </c>
      <c r="DD61" s="271" t="s">
        <v>150</v>
      </c>
      <c r="DE61" s="271" t="s">
        <v>151</v>
      </c>
      <c r="DF61" s="285" t="s">
        <v>56</v>
      </c>
      <c r="DG61" s="285" t="s">
        <v>56</v>
      </c>
      <c r="DH61" s="285" t="s">
        <v>57</v>
      </c>
      <c r="DI61" s="285" t="s">
        <v>57</v>
      </c>
      <c r="DJ61" s="272" t="s">
        <v>77</v>
      </c>
      <c r="DK61" s="272" t="s">
        <v>77</v>
      </c>
      <c r="DL61" s="272" t="s">
        <v>77</v>
      </c>
      <c r="DM61" s="271" t="s">
        <v>356</v>
      </c>
      <c r="DN61" s="272" t="s">
        <v>113</v>
      </c>
      <c r="DO61" s="520" t="s">
        <v>645</v>
      </c>
      <c r="DP61" s="520"/>
      <c r="DQ61" s="527" t="s">
        <v>915</v>
      </c>
      <c r="DR61" s="531" t="s">
        <v>916</v>
      </c>
      <c r="DS61" s="271" t="s">
        <v>141</v>
      </c>
      <c r="DT61" s="106"/>
      <c r="DU61" s="28"/>
      <c r="DV61" s="28"/>
      <c r="DW61" s="28"/>
      <c r="DX61" s="28"/>
      <c r="DY61" s="28"/>
      <c r="DZ61" s="28"/>
      <c r="EA61" s="28"/>
      <c r="EB61" s="28"/>
    </row>
    <row r="62" spans="1:132" ht="135.75" customHeight="1" x14ac:dyDescent="0.2">
      <c r="A62" s="759" t="s">
        <v>35</v>
      </c>
      <c r="B62" s="93" t="s">
        <v>45</v>
      </c>
      <c r="C62" s="744"/>
      <c r="D62" s="253">
        <v>701</v>
      </c>
      <c r="E62" s="666" t="s">
        <v>407</v>
      </c>
      <c r="F62" s="709" t="s">
        <v>102</v>
      </c>
      <c r="G62" s="709" t="s">
        <v>77</v>
      </c>
      <c r="H62" s="709" t="s">
        <v>77</v>
      </c>
      <c r="I62" s="700" t="s">
        <v>530</v>
      </c>
      <c r="J62" s="666" t="s">
        <v>153</v>
      </c>
      <c r="K62" s="272"/>
      <c r="L62" s="272" t="s">
        <v>10</v>
      </c>
      <c r="M62" s="310">
        <v>1</v>
      </c>
      <c r="N62" s="11" t="s">
        <v>77</v>
      </c>
      <c r="O62" s="11" t="s">
        <v>77</v>
      </c>
      <c r="P62" s="303" t="s">
        <v>77</v>
      </c>
      <c r="Q62" s="3">
        <v>0</v>
      </c>
      <c r="R62" s="3">
        <v>0</v>
      </c>
      <c r="S62" s="4">
        <v>0</v>
      </c>
      <c r="T62" s="4">
        <v>0</v>
      </c>
      <c r="U62" s="4">
        <v>0</v>
      </c>
      <c r="V62" s="4">
        <v>0</v>
      </c>
      <c r="W62" s="51" t="s">
        <v>77</v>
      </c>
      <c r="X62" s="51" t="s">
        <v>77</v>
      </c>
      <c r="Y62" s="145">
        <f t="shared" si="205"/>
        <v>0</v>
      </c>
      <c r="Z62" s="145">
        <f t="shared" si="206"/>
        <v>0</v>
      </c>
      <c r="AA62" s="145">
        <f t="shared" si="207"/>
        <v>0</v>
      </c>
      <c r="AB62" s="145">
        <f t="shared" si="215"/>
        <v>0</v>
      </c>
      <c r="AC62" s="145">
        <f t="shared" si="216"/>
        <v>0</v>
      </c>
      <c r="AD62" s="145">
        <f t="shared" si="208"/>
        <v>0</v>
      </c>
      <c r="AE62" s="145">
        <f t="shared" si="209"/>
        <v>0</v>
      </c>
      <c r="AF62" s="145">
        <f t="shared" si="217"/>
        <v>0</v>
      </c>
      <c r="AG62" s="145">
        <f t="shared" si="218"/>
        <v>0</v>
      </c>
      <c r="AH62" s="76">
        <v>150</v>
      </c>
      <c r="AI62" s="76">
        <v>175</v>
      </c>
      <c r="AJ62" s="110">
        <f t="shared" ref="AJ62:AJ99" si="230">(AH62+AI62)/2</f>
        <v>162.5</v>
      </c>
      <c r="AK62" s="76">
        <f t="shared" ref="AK62:AK80" si="231">AH62*($AA$109/$AA$107)</f>
        <v>150</v>
      </c>
      <c r="AL62" s="76">
        <f t="shared" ref="AL62:AL80" si="232">AI62*($AA$109/$AA$107)</f>
        <v>175</v>
      </c>
      <c r="AM62" s="76">
        <f t="shared" si="196"/>
        <v>162.5</v>
      </c>
      <c r="AN62" s="104">
        <v>0.5</v>
      </c>
      <c r="AO62" s="76">
        <v>0</v>
      </c>
      <c r="AP62" s="76">
        <f t="shared" ref="AP62:AP71" si="233">(AK62*(1+$AN$2))+AO62</f>
        <v>210</v>
      </c>
      <c r="AQ62" s="76">
        <f t="shared" ref="AQ62:AQ71" si="234">(AL62*(1+$AN$2))+AO62</f>
        <v>244.99999999999997</v>
      </c>
      <c r="AR62" s="76">
        <f t="shared" si="53"/>
        <v>227.5</v>
      </c>
      <c r="AS62" s="111">
        <v>1.65</v>
      </c>
      <c r="AT62" s="111">
        <v>3</v>
      </c>
      <c r="AU62" s="76">
        <f t="shared" ref="AU62:AU99" si="235">(AS62+AT62)/2</f>
        <v>2.3250000000000002</v>
      </c>
      <c r="AV62" s="76">
        <f t="shared" ref="AV62:AV80" si="236">AS62*($AA$109/$AA$107)</f>
        <v>1.65</v>
      </c>
      <c r="AW62" s="76">
        <f t="shared" ref="AW62:AW80" si="237">AT62*($AA$109/$AA$107)</f>
        <v>3</v>
      </c>
      <c r="AX62" s="76">
        <f t="shared" si="197"/>
        <v>2.3250000000000002</v>
      </c>
      <c r="AY62" s="51">
        <v>0</v>
      </c>
      <c r="AZ62" s="51">
        <v>0</v>
      </c>
      <c r="BA62" s="51">
        <v>0</v>
      </c>
      <c r="BB62" s="327"/>
      <c r="BC62" s="76">
        <f t="shared" ref="BC62:BC72" si="238">AP62*(1+$AZ62)</f>
        <v>210</v>
      </c>
      <c r="BD62" s="76">
        <f t="shared" ref="BD62:BD72" si="239">AQ62*(1+$AZ62)</f>
        <v>244.99999999999997</v>
      </c>
      <c r="BE62" s="76">
        <f t="shared" si="42"/>
        <v>227.5</v>
      </c>
      <c r="BF62" s="76">
        <f t="shared" ref="BF62:BF99" si="240">AV62*(1+$BA62)</f>
        <v>1.65</v>
      </c>
      <c r="BG62" s="76">
        <f t="shared" ref="BG62:BH99" si="241">AW62*(1+$BA62)</f>
        <v>3</v>
      </c>
      <c r="BH62" s="76">
        <f t="shared" si="7"/>
        <v>2.3250000000000002</v>
      </c>
      <c r="BI62" s="4">
        <v>100</v>
      </c>
      <c r="BJ62" s="76">
        <v>0</v>
      </c>
      <c r="BK62" s="76">
        <f t="shared" si="204"/>
        <v>0</v>
      </c>
      <c r="BL62" s="111">
        <f t="shared" si="225"/>
        <v>0</v>
      </c>
      <c r="BM62" s="4">
        <f t="shared" si="210"/>
        <v>0</v>
      </c>
      <c r="BN62" s="4">
        <f t="shared" si="57"/>
        <v>0</v>
      </c>
      <c r="BO62" s="4">
        <f t="shared" si="201"/>
        <v>0</v>
      </c>
      <c r="BP62" s="4">
        <f t="shared" si="58"/>
        <v>0</v>
      </c>
      <c r="BQ62" s="324">
        <f t="shared" si="211"/>
        <v>0</v>
      </c>
      <c r="BR62" s="324">
        <f t="shared" si="212"/>
        <v>0</v>
      </c>
      <c r="BS62" s="324">
        <f t="shared" si="202"/>
        <v>0</v>
      </c>
      <c r="BT62" s="324">
        <f t="shared" si="203"/>
        <v>0</v>
      </c>
      <c r="BU62" s="76">
        <f t="shared" si="198"/>
        <v>256.47463904640546</v>
      </c>
      <c r="BV62" s="111" t="s">
        <v>77</v>
      </c>
      <c r="BW62" s="88" t="s">
        <v>77</v>
      </c>
      <c r="BX62" s="88" t="s">
        <v>77</v>
      </c>
      <c r="BY62" s="89" t="s">
        <v>77</v>
      </c>
      <c r="BZ62" s="88" t="s">
        <v>77</v>
      </c>
      <c r="CA62" s="88" t="s">
        <v>77</v>
      </c>
      <c r="CB62" s="89" t="s">
        <v>77</v>
      </c>
      <c r="CC62" s="88" t="s">
        <v>77</v>
      </c>
      <c r="CD62" s="88" t="s">
        <v>77</v>
      </c>
      <c r="CE62" s="89" t="s">
        <v>77</v>
      </c>
      <c r="CF62" s="88" t="s">
        <v>77</v>
      </c>
      <c r="CG62" s="88" t="s">
        <v>77</v>
      </c>
      <c r="CH62" s="89" t="s">
        <v>77</v>
      </c>
      <c r="CI62" s="41">
        <f t="shared" si="226"/>
        <v>0</v>
      </c>
      <c r="CJ62" s="41">
        <f t="shared" si="227"/>
        <v>0</v>
      </c>
      <c r="CK62" s="41">
        <f t="shared" si="228"/>
        <v>0</v>
      </c>
      <c r="CL62" s="41">
        <f t="shared" si="229"/>
        <v>0</v>
      </c>
      <c r="CM62" s="88" t="s">
        <v>77</v>
      </c>
      <c r="CN62" s="88" t="s">
        <v>77</v>
      </c>
      <c r="CO62" s="89" t="s">
        <v>77</v>
      </c>
      <c r="CP62" s="88" t="s">
        <v>77</v>
      </c>
      <c r="CQ62" s="88" t="s">
        <v>77</v>
      </c>
      <c r="CR62" s="89" t="s">
        <v>77</v>
      </c>
      <c r="CS62" s="88" t="s">
        <v>77</v>
      </c>
      <c r="CT62" s="88" t="s">
        <v>77</v>
      </c>
      <c r="CU62" s="89" t="s">
        <v>77</v>
      </c>
      <c r="CV62" s="88" t="s">
        <v>77</v>
      </c>
      <c r="CW62" s="88" t="s">
        <v>77</v>
      </c>
      <c r="CX62" s="89" t="s">
        <v>77</v>
      </c>
      <c r="CY62" s="647" t="s">
        <v>309</v>
      </c>
      <c r="CZ62" s="646" t="s">
        <v>56</v>
      </c>
      <c r="DA62" s="643" t="s">
        <v>57</v>
      </c>
      <c r="DB62" s="643" t="s">
        <v>77</v>
      </c>
      <c r="DC62" s="643" t="s">
        <v>57</v>
      </c>
      <c r="DD62" s="275" t="s">
        <v>572</v>
      </c>
      <c r="DE62" s="271" t="s">
        <v>154</v>
      </c>
      <c r="DF62" s="285" t="s">
        <v>57</v>
      </c>
      <c r="DG62" s="285" t="s">
        <v>57</v>
      </c>
      <c r="DH62" s="285" t="s">
        <v>57</v>
      </c>
      <c r="DI62" s="285" t="s">
        <v>57</v>
      </c>
      <c r="DJ62" s="272" t="s">
        <v>77</v>
      </c>
      <c r="DK62" s="272" t="s">
        <v>77</v>
      </c>
      <c r="DL62" s="272" t="s">
        <v>77</v>
      </c>
      <c r="DM62" s="272" t="s">
        <v>77</v>
      </c>
      <c r="DN62" s="272" t="s">
        <v>77</v>
      </c>
      <c r="DO62" s="520"/>
      <c r="DP62" s="520"/>
      <c r="DS62" s="271" t="s">
        <v>155</v>
      </c>
      <c r="DT62" s="106"/>
      <c r="DU62" s="28"/>
      <c r="DV62" s="28"/>
      <c r="DW62" s="28"/>
      <c r="DX62" s="28"/>
      <c r="DY62" s="28"/>
      <c r="DZ62" s="28"/>
      <c r="EA62" s="28"/>
      <c r="EB62" s="28"/>
    </row>
    <row r="63" spans="1:132" ht="137.25" customHeight="1" x14ac:dyDescent="0.2">
      <c r="A63" s="759"/>
      <c r="B63" s="94" t="s">
        <v>46</v>
      </c>
      <c r="C63" s="776"/>
      <c r="D63" s="254">
        <v>702</v>
      </c>
      <c r="E63" s="666"/>
      <c r="F63" s="709"/>
      <c r="G63" s="709"/>
      <c r="H63" s="709"/>
      <c r="I63" s="701"/>
      <c r="J63" s="666"/>
      <c r="K63" s="272"/>
      <c r="L63" s="272" t="s">
        <v>10</v>
      </c>
      <c r="M63" s="310">
        <v>1</v>
      </c>
      <c r="N63" s="11" t="s">
        <v>77</v>
      </c>
      <c r="O63" s="11" t="s">
        <v>77</v>
      </c>
      <c r="P63" s="303" t="s">
        <v>77</v>
      </c>
      <c r="Q63" s="3">
        <v>0</v>
      </c>
      <c r="R63" s="3">
        <v>0</v>
      </c>
      <c r="S63" s="4">
        <v>0</v>
      </c>
      <c r="T63" s="4">
        <v>0</v>
      </c>
      <c r="U63" s="4">
        <v>0</v>
      </c>
      <c r="V63" s="4">
        <v>0</v>
      </c>
      <c r="W63" s="51" t="s">
        <v>77</v>
      </c>
      <c r="X63" s="51" t="s">
        <v>77</v>
      </c>
      <c r="Y63" s="145">
        <f t="shared" si="205"/>
        <v>0</v>
      </c>
      <c r="Z63" s="145">
        <f t="shared" si="206"/>
        <v>0</v>
      </c>
      <c r="AA63" s="145">
        <f t="shared" si="207"/>
        <v>0</v>
      </c>
      <c r="AB63" s="145">
        <f t="shared" si="215"/>
        <v>0</v>
      </c>
      <c r="AC63" s="145">
        <f t="shared" si="216"/>
        <v>0</v>
      </c>
      <c r="AD63" s="145">
        <f t="shared" si="208"/>
        <v>0</v>
      </c>
      <c r="AE63" s="145">
        <f t="shared" si="209"/>
        <v>0</v>
      </c>
      <c r="AF63" s="145">
        <f t="shared" si="217"/>
        <v>0</v>
      </c>
      <c r="AG63" s="145">
        <f t="shared" si="218"/>
        <v>0</v>
      </c>
      <c r="AH63" s="76">
        <v>125</v>
      </c>
      <c r="AI63" s="76">
        <v>150</v>
      </c>
      <c r="AJ63" s="295">
        <f t="shared" si="230"/>
        <v>137.5</v>
      </c>
      <c r="AK63" s="76">
        <f t="shared" si="231"/>
        <v>125</v>
      </c>
      <c r="AL63" s="76">
        <f t="shared" si="232"/>
        <v>150</v>
      </c>
      <c r="AM63" s="76">
        <f t="shared" si="196"/>
        <v>137.5</v>
      </c>
      <c r="AN63" s="104">
        <v>0.55000000000000004</v>
      </c>
      <c r="AO63" s="76">
        <v>0</v>
      </c>
      <c r="AP63" s="76">
        <f t="shared" si="233"/>
        <v>175</v>
      </c>
      <c r="AQ63" s="76">
        <f t="shared" si="234"/>
        <v>210</v>
      </c>
      <c r="AR63" s="76">
        <f t="shared" si="53"/>
        <v>192.5</v>
      </c>
      <c r="AS63" s="111">
        <v>2.15</v>
      </c>
      <c r="AT63" s="111">
        <v>3.9</v>
      </c>
      <c r="AU63" s="76">
        <f t="shared" si="235"/>
        <v>3.0249999999999999</v>
      </c>
      <c r="AV63" s="76">
        <f t="shared" si="236"/>
        <v>2.15</v>
      </c>
      <c r="AW63" s="76">
        <f t="shared" si="237"/>
        <v>3.9</v>
      </c>
      <c r="AX63" s="76">
        <f t="shared" si="197"/>
        <v>3.0249999999999999</v>
      </c>
      <c r="AY63" s="51">
        <v>0</v>
      </c>
      <c r="AZ63" s="51">
        <v>0</v>
      </c>
      <c r="BA63" s="51">
        <v>0</v>
      </c>
      <c r="BB63" s="327"/>
      <c r="BC63" s="76">
        <f t="shared" si="238"/>
        <v>175</v>
      </c>
      <c r="BD63" s="76">
        <f t="shared" si="239"/>
        <v>210</v>
      </c>
      <c r="BE63" s="76">
        <f t="shared" si="42"/>
        <v>192.5</v>
      </c>
      <c r="BF63" s="76">
        <f t="shared" si="240"/>
        <v>2.15</v>
      </c>
      <c r="BG63" s="76">
        <f t="shared" si="241"/>
        <v>3.9</v>
      </c>
      <c r="BH63" s="76">
        <f t="shared" si="7"/>
        <v>3.0249999999999999</v>
      </c>
      <c r="BI63" s="4">
        <v>100</v>
      </c>
      <c r="BJ63" s="76">
        <v>0</v>
      </c>
      <c r="BK63" s="76">
        <f t="shared" si="204"/>
        <v>0</v>
      </c>
      <c r="BL63" s="111">
        <f t="shared" si="225"/>
        <v>0</v>
      </c>
      <c r="BM63" s="4">
        <f t="shared" si="210"/>
        <v>0</v>
      </c>
      <c r="BN63" s="4">
        <f t="shared" si="57"/>
        <v>0</v>
      </c>
      <c r="BO63" s="4">
        <f t="shared" si="201"/>
        <v>0</v>
      </c>
      <c r="BP63" s="4">
        <f t="shared" si="58"/>
        <v>0</v>
      </c>
      <c r="BQ63" s="324">
        <f t="shared" si="211"/>
        <v>0</v>
      </c>
      <c r="BR63" s="324">
        <f t="shared" si="212"/>
        <v>0</v>
      </c>
      <c r="BS63" s="324">
        <f t="shared" si="202"/>
        <v>0</v>
      </c>
      <c r="BT63" s="324">
        <f t="shared" si="203"/>
        <v>0</v>
      </c>
      <c r="BU63" s="76">
        <f t="shared" si="198"/>
        <v>230.19818628618344</v>
      </c>
      <c r="BV63" s="111" t="s">
        <v>77</v>
      </c>
      <c r="BW63" s="88" t="s">
        <v>77</v>
      </c>
      <c r="BX63" s="88" t="s">
        <v>77</v>
      </c>
      <c r="BY63" s="89" t="s">
        <v>77</v>
      </c>
      <c r="BZ63" s="88" t="s">
        <v>77</v>
      </c>
      <c r="CA63" s="88" t="s">
        <v>77</v>
      </c>
      <c r="CB63" s="89" t="s">
        <v>77</v>
      </c>
      <c r="CC63" s="88" t="s">
        <v>77</v>
      </c>
      <c r="CD63" s="88" t="s">
        <v>77</v>
      </c>
      <c r="CE63" s="89" t="s">
        <v>77</v>
      </c>
      <c r="CF63" s="88" t="s">
        <v>77</v>
      </c>
      <c r="CG63" s="88" t="s">
        <v>77</v>
      </c>
      <c r="CH63" s="89" t="s">
        <v>77</v>
      </c>
      <c r="CI63" s="41">
        <f t="shared" si="226"/>
        <v>0</v>
      </c>
      <c r="CJ63" s="41">
        <f t="shared" si="227"/>
        <v>0</v>
      </c>
      <c r="CK63" s="41">
        <f t="shared" si="228"/>
        <v>0</v>
      </c>
      <c r="CL63" s="41">
        <f t="shared" si="229"/>
        <v>0</v>
      </c>
      <c r="CM63" s="88" t="s">
        <v>77</v>
      </c>
      <c r="CN63" s="88" t="s">
        <v>77</v>
      </c>
      <c r="CO63" s="89" t="s">
        <v>77</v>
      </c>
      <c r="CP63" s="88" t="s">
        <v>77</v>
      </c>
      <c r="CQ63" s="88" t="s">
        <v>77</v>
      </c>
      <c r="CR63" s="89" t="s">
        <v>77</v>
      </c>
      <c r="CS63" s="88" t="s">
        <v>77</v>
      </c>
      <c r="CT63" s="88" t="s">
        <v>77</v>
      </c>
      <c r="CU63" s="89" t="s">
        <v>77</v>
      </c>
      <c r="CV63" s="88" t="s">
        <v>77</v>
      </c>
      <c r="CW63" s="88" t="s">
        <v>77</v>
      </c>
      <c r="CX63" s="89" t="s">
        <v>77</v>
      </c>
      <c r="CY63" s="647"/>
      <c r="CZ63" s="646"/>
      <c r="DA63" s="644"/>
      <c r="DB63" s="644"/>
      <c r="DC63" s="644"/>
      <c r="DD63" s="275" t="s">
        <v>257</v>
      </c>
      <c r="DE63" s="271" t="s">
        <v>258</v>
      </c>
      <c r="DF63" s="285" t="s">
        <v>57</v>
      </c>
      <c r="DG63" s="285" t="s">
        <v>57</v>
      </c>
      <c r="DH63" s="285" t="s">
        <v>57</v>
      </c>
      <c r="DI63" s="285" t="s">
        <v>57</v>
      </c>
      <c r="DJ63" s="272" t="s">
        <v>77</v>
      </c>
      <c r="DK63" s="272" t="s">
        <v>77</v>
      </c>
      <c r="DL63" s="272" t="s">
        <v>77</v>
      </c>
      <c r="DM63" s="272" t="s">
        <v>77</v>
      </c>
      <c r="DN63" s="272" t="s">
        <v>77</v>
      </c>
      <c r="DO63" s="520"/>
      <c r="DP63" s="520"/>
      <c r="DS63" s="271" t="s">
        <v>155</v>
      </c>
      <c r="DT63" s="106"/>
      <c r="DU63" s="28"/>
      <c r="DV63" s="28"/>
      <c r="DW63" s="28"/>
      <c r="DX63" s="28"/>
      <c r="DY63" s="28"/>
      <c r="DZ63" s="28"/>
      <c r="EA63" s="28"/>
      <c r="EB63" s="28"/>
    </row>
    <row r="64" spans="1:132" ht="126" customHeight="1" x14ac:dyDescent="0.2">
      <c r="A64" s="759"/>
      <c r="B64" s="94" t="s">
        <v>47</v>
      </c>
      <c r="C64" s="776"/>
      <c r="D64" s="254">
        <v>703</v>
      </c>
      <c r="E64" s="666"/>
      <c r="F64" s="709"/>
      <c r="G64" s="709"/>
      <c r="H64" s="709"/>
      <c r="I64" s="701"/>
      <c r="J64" s="666"/>
      <c r="K64" s="272"/>
      <c r="L64" s="272" t="s">
        <v>10</v>
      </c>
      <c r="M64" s="310">
        <v>1</v>
      </c>
      <c r="N64" s="11" t="s">
        <v>77</v>
      </c>
      <c r="O64" s="11" t="s">
        <v>77</v>
      </c>
      <c r="P64" s="303" t="s">
        <v>77</v>
      </c>
      <c r="Q64" s="3">
        <v>0</v>
      </c>
      <c r="R64" s="3">
        <v>0</v>
      </c>
      <c r="S64" s="4">
        <v>0</v>
      </c>
      <c r="T64" s="4">
        <v>0</v>
      </c>
      <c r="U64" s="4">
        <v>0</v>
      </c>
      <c r="V64" s="4">
        <v>0</v>
      </c>
      <c r="W64" s="51" t="s">
        <v>77</v>
      </c>
      <c r="X64" s="51" t="s">
        <v>77</v>
      </c>
      <c r="Y64" s="145">
        <f t="shared" si="205"/>
        <v>0</v>
      </c>
      <c r="Z64" s="145">
        <f t="shared" si="206"/>
        <v>0</v>
      </c>
      <c r="AA64" s="145">
        <f t="shared" si="207"/>
        <v>0</v>
      </c>
      <c r="AB64" s="145">
        <f t="shared" si="215"/>
        <v>0</v>
      </c>
      <c r="AC64" s="145">
        <f t="shared" si="216"/>
        <v>0</v>
      </c>
      <c r="AD64" s="145">
        <f t="shared" si="208"/>
        <v>0</v>
      </c>
      <c r="AE64" s="145">
        <f t="shared" si="209"/>
        <v>0</v>
      </c>
      <c r="AF64" s="145">
        <f t="shared" si="217"/>
        <v>0</v>
      </c>
      <c r="AG64" s="145">
        <f t="shared" si="218"/>
        <v>0</v>
      </c>
      <c r="AH64" s="76">
        <v>125</v>
      </c>
      <c r="AI64" s="76">
        <v>150</v>
      </c>
      <c r="AJ64" s="76">
        <f t="shared" si="230"/>
        <v>137.5</v>
      </c>
      <c r="AK64" s="76">
        <f t="shared" si="231"/>
        <v>125</v>
      </c>
      <c r="AL64" s="76">
        <f t="shared" si="232"/>
        <v>150</v>
      </c>
      <c r="AM64" s="76">
        <f t="shared" si="196"/>
        <v>137.5</v>
      </c>
      <c r="AN64" s="104">
        <v>0.55000000000000004</v>
      </c>
      <c r="AO64" s="76">
        <v>0</v>
      </c>
      <c r="AP64" s="76">
        <f t="shared" si="233"/>
        <v>175</v>
      </c>
      <c r="AQ64" s="76">
        <f t="shared" si="234"/>
        <v>210</v>
      </c>
      <c r="AR64" s="76">
        <f t="shared" si="53"/>
        <v>192.5</v>
      </c>
      <c r="AS64" s="111">
        <v>2.15</v>
      </c>
      <c r="AT64" s="111">
        <v>3.9</v>
      </c>
      <c r="AU64" s="76">
        <f t="shared" si="235"/>
        <v>3.0249999999999999</v>
      </c>
      <c r="AV64" s="76">
        <f t="shared" si="236"/>
        <v>2.15</v>
      </c>
      <c r="AW64" s="76">
        <f t="shared" si="237"/>
        <v>3.9</v>
      </c>
      <c r="AX64" s="76">
        <f t="shared" si="197"/>
        <v>3.0249999999999999</v>
      </c>
      <c r="AY64" s="51">
        <v>0</v>
      </c>
      <c r="AZ64" s="51">
        <v>0</v>
      </c>
      <c r="BA64" s="51">
        <v>0</v>
      </c>
      <c r="BB64" s="327"/>
      <c r="BC64" s="76">
        <f t="shared" si="238"/>
        <v>175</v>
      </c>
      <c r="BD64" s="76">
        <f t="shared" si="239"/>
        <v>210</v>
      </c>
      <c r="BE64" s="76">
        <f t="shared" si="42"/>
        <v>192.5</v>
      </c>
      <c r="BF64" s="76">
        <f t="shared" si="240"/>
        <v>2.15</v>
      </c>
      <c r="BG64" s="76">
        <f t="shared" si="241"/>
        <v>3.9</v>
      </c>
      <c r="BH64" s="76">
        <f t="shared" si="7"/>
        <v>3.0249999999999999</v>
      </c>
      <c r="BI64" s="4">
        <v>100</v>
      </c>
      <c r="BJ64" s="76">
        <v>0</v>
      </c>
      <c r="BK64" s="76">
        <f t="shared" si="204"/>
        <v>0</v>
      </c>
      <c r="BL64" s="111">
        <f t="shared" si="225"/>
        <v>0</v>
      </c>
      <c r="BM64" s="4">
        <f t="shared" si="210"/>
        <v>0</v>
      </c>
      <c r="BN64" s="4">
        <f t="shared" si="57"/>
        <v>0</v>
      </c>
      <c r="BO64" s="4">
        <f t="shared" si="201"/>
        <v>0</v>
      </c>
      <c r="BP64" s="4">
        <f t="shared" si="58"/>
        <v>0</v>
      </c>
      <c r="BQ64" s="324">
        <f t="shared" si="211"/>
        <v>0</v>
      </c>
      <c r="BR64" s="324">
        <f t="shared" si="212"/>
        <v>0</v>
      </c>
      <c r="BS64" s="324">
        <f t="shared" si="202"/>
        <v>0</v>
      </c>
      <c r="BT64" s="324">
        <f t="shared" si="203"/>
        <v>0</v>
      </c>
      <c r="BU64" s="76">
        <f t="shared" si="198"/>
        <v>230.19818628618344</v>
      </c>
      <c r="BV64" s="111" t="s">
        <v>77</v>
      </c>
      <c r="BW64" s="88" t="s">
        <v>77</v>
      </c>
      <c r="BX64" s="88" t="s">
        <v>77</v>
      </c>
      <c r="BY64" s="89" t="s">
        <v>77</v>
      </c>
      <c r="BZ64" s="88" t="s">
        <v>77</v>
      </c>
      <c r="CA64" s="88" t="s">
        <v>77</v>
      </c>
      <c r="CB64" s="89" t="s">
        <v>77</v>
      </c>
      <c r="CC64" s="88" t="s">
        <v>77</v>
      </c>
      <c r="CD64" s="88" t="s">
        <v>77</v>
      </c>
      <c r="CE64" s="89" t="s">
        <v>77</v>
      </c>
      <c r="CF64" s="88" t="s">
        <v>77</v>
      </c>
      <c r="CG64" s="88" t="s">
        <v>77</v>
      </c>
      <c r="CH64" s="89" t="s">
        <v>77</v>
      </c>
      <c r="CI64" s="41">
        <f t="shared" si="226"/>
        <v>0</v>
      </c>
      <c r="CJ64" s="41">
        <f t="shared" si="227"/>
        <v>0</v>
      </c>
      <c r="CK64" s="41">
        <f t="shared" si="228"/>
        <v>0</v>
      </c>
      <c r="CL64" s="41">
        <f t="shared" si="229"/>
        <v>0</v>
      </c>
      <c r="CM64" s="88" t="s">
        <v>77</v>
      </c>
      <c r="CN64" s="88" t="s">
        <v>77</v>
      </c>
      <c r="CO64" s="89" t="s">
        <v>77</v>
      </c>
      <c r="CP64" s="88" t="s">
        <v>77</v>
      </c>
      <c r="CQ64" s="88" t="s">
        <v>77</v>
      </c>
      <c r="CR64" s="89" t="s">
        <v>77</v>
      </c>
      <c r="CS64" s="88" t="s">
        <v>77</v>
      </c>
      <c r="CT64" s="88" t="s">
        <v>77</v>
      </c>
      <c r="CU64" s="89" t="s">
        <v>77</v>
      </c>
      <c r="CV64" s="88" t="s">
        <v>77</v>
      </c>
      <c r="CW64" s="88" t="s">
        <v>77</v>
      </c>
      <c r="CX64" s="89" t="s">
        <v>77</v>
      </c>
      <c r="CY64" s="647"/>
      <c r="CZ64" s="646"/>
      <c r="DA64" s="644"/>
      <c r="DB64" s="644"/>
      <c r="DC64" s="644"/>
      <c r="DD64" s="275" t="s">
        <v>573</v>
      </c>
      <c r="DE64" s="271" t="s">
        <v>156</v>
      </c>
      <c r="DF64" s="285" t="s">
        <v>57</v>
      </c>
      <c r="DG64" s="285" t="s">
        <v>57</v>
      </c>
      <c r="DH64" s="285" t="s">
        <v>57</v>
      </c>
      <c r="DI64" s="285" t="s">
        <v>57</v>
      </c>
      <c r="DJ64" s="272" t="s">
        <v>77</v>
      </c>
      <c r="DK64" s="272" t="s">
        <v>77</v>
      </c>
      <c r="DL64" s="272" t="s">
        <v>77</v>
      </c>
      <c r="DM64" s="272" t="s">
        <v>77</v>
      </c>
      <c r="DN64" s="272" t="s">
        <v>77</v>
      </c>
      <c r="DO64" s="520"/>
      <c r="DP64" s="520"/>
      <c r="DS64" s="271" t="s">
        <v>155</v>
      </c>
      <c r="DT64" s="106"/>
      <c r="DU64" s="28"/>
      <c r="DV64" s="28"/>
      <c r="DW64" s="28"/>
      <c r="DX64" s="28"/>
      <c r="DY64" s="28"/>
      <c r="DZ64" s="28"/>
      <c r="EA64" s="28"/>
      <c r="EB64" s="28"/>
    </row>
    <row r="65" spans="1:132" ht="126" customHeight="1" x14ac:dyDescent="0.2">
      <c r="A65" s="759"/>
      <c r="B65" s="94" t="s">
        <v>48</v>
      </c>
      <c r="C65" s="776"/>
      <c r="D65" s="254">
        <v>704</v>
      </c>
      <c r="E65" s="666"/>
      <c r="F65" s="709"/>
      <c r="G65" s="709"/>
      <c r="H65" s="709"/>
      <c r="I65" s="701"/>
      <c r="J65" s="666"/>
      <c r="K65" s="272"/>
      <c r="L65" s="272" t="s">
        <v>10</v>
      </c>
      <c r="M65" s="310">
        <v>1</v>
      </c>
      <c r="N65" s="11" t="s">
        <v>77</v>
      </c>
      <c r="O65" s="11" t="s">
        <v>77</v>
      </c>
      <c r="P65" s="303" t="s">
        <v>77</v>
      </c>
      <c r="Q65" s="3">
        <v>0</v>
      </c>
      <c r="R65" s="3">
        <v>0</v>
      </c>
      <c r="S65" s="4">
        <v>0</v>
      </c>
      <c r="T65" s="4">
        <v>0</v>
      </c>
      <c r="U65" s="4">
        <v>0</v>
      </c>
      <c r="V65" s="4">
        <v>0</v>
      </c>
      <c r="W65" s="51" t="s">
        <v>77</v>
      </c>
      <c r="X65" s="51" t="s">
        <v>77</v>
      </c>
      <c r="Y65" s="145">
        <f t="shared" si="205"/>
        <v>0</v>
      </c>
      <c r="Z65" s="145">
        <f t="shared" si="206"/>
        <v>0</v>
      </c>
      <c r="AA65" s="145">
        <f t="shared" si="207"/>
        <v>0</v>
      </c>
      <c r="AB65" s="145">
        <f t="shared" si="215"/>
        <v>0</v>
      </c>
      <c r="AC65" s="145">
        <f t="shared" si="216"/>
        <v>0</v>
      </c>
      <c r="AD65" s="145">
        <f t="shared" si="208"/>
        <v>0</v>
      </c>
      <c r="AE65" s="145">
        <f t="shared" si="209"/>
        <v>0</v>
      </c>
      <c r="AF65" s="145">
        <f t="shared" si="217"/>
        <v>0</v>
      </c>
      <c r="AG65" s="145">
        <f t="shared" si="218"/>
        <v>0</v>
      </c>
      <c r="AH65" s="76">
        <v>125</v>
      </c>
      <c r="AI65" s="76">
        <v>150</v>
      </c>
      <c r="AJ65" s="76">
        <f t="shared" si="230"/>
        <v>137.5</v>
      </c>
      <c r="AK65" s="76">
        <f t="shared" si="231"/>
        <v>125</v>
      </c>
      <c r="AL65" s="76">
        <f t="shared" si="232"/>
        <v>150</v>
      </c>
      <c r="AM65" s="76">
        <f t="shared" si="196"/>
        <v>137.5</v>
      </c>
      <c r="AN65" s="104">
        <v>0.55000000000000004</v>
      </c>
      <c r="AO65" s="76">
        <v>0</v>
      </c>
      <c r="AP65" s="76">
        <f t="shared" si="233"/>
        <v>175</v>
      </c>
      <c r="AQ65" s="76">
        <f t="shared" si="234"/>
        <v>210</v>
      </c>
      <c r="AR65" s="76">
        <f t="shared" si="53"/>
        <v>192.5</v>
      </c>
      <c r="AS65" s="111">
        <v>0.5</v>
      </c>
      <c r="AT65" s="111">
        <v>0.75</v>
      </c>
      <c r="AU65" s="76">
        <f t="shared" si="235"/>
        <v>0.625</v>
      </c>
      <c r="AV65" s="76">
        <f t="shared" si="236"/>
        <v>0.5</v>
      </c>
      <c r="AW65" s="76">
        <f t="shared" si="237"/>
        <v>0.75</v>
      </c>
      <c r="AX65" s="76">
        <f t="shared" si="197"/>
        <v>0.625</v>
      </c>
      <c r="AY65" s="51">
        <v>0</v>
      </c>
      <c r="AZ65" s="51">
        <v>0</v>
      </c>
      <c r="BA65" s="51">
        <v>0</v>
      </c>
      <c r="BB65" s="327"/>
      <c r="BC65" s="76">
        <f t="shared" si="238"/>
        <v>175</v>
      </c>
      <c r="BD65" s="76">
        <f t="shared" si="239"/>
        <v>210</v>
      </c>
      <c r="BE65" s="76">
        <f t="shared" si="42"/>
        <v>192.5</v>
      </c>
      <c r="BF65" s="76">
        <f t="shared" si="240"/>
        <v>0.5</v>
      </c>
      <c r="BG65" s="76">
        <f t="shared" si="241"/>
        <v>0.75</v>
      </c>
      <c r="BH65" s="76">
        <f t="shared" si="7"/>
        <v>0.625</v>
      </c>
      <c r="BI65" s="4">
        <v>100</v>
      </c>
      <c r="BJ65" s="76">
        <v>0</v>
      </c>
      <c r="BK65" s="76">
        <f t="shared" si="204"/>
        <v>0</v>
      </c>
      <c r="BL65" s="111">
        <f t="shared" si="225"/>
        <v>0</v>
      </c>
      <c r="BM65" s="4">
        <f t="shared" si="210"/>
        <v>0</v>
      </c>
      <c r="BN65" s="4">
        <f t="shared" si="57"/>
        <v>0</v>
      </c>
      <c r="BO65" s="4">
        <f t="shared" si="201"/>
        <v>0</v>
      </c>
      <c r="BP65" s="4">
        <f t="shared" si="58"/>
        <v>0</v>
      </c>
      <c r="BQ65" s="324">
        <f t="shared" si="211"/>
        <v>0</v>
      </c>
      <c r="BR65" s="324">
        <f t="shared" si="212"/>
        <v>0</v>
      </c>
      <c r="BS65" s="324">
        <f t="shared" si="202"/>
        <v>0</v>
      </c>
      <c r="BT65" s="324">
        <f t="shared" si="203"/>
        <v>0</v>
      </c>
      <c r="BU65" s="76">
        <f t="shared" si="198"/>
        <v>200.2888814640875</v>
      </c>
      <c r="BV65" s="111" t="s">
        <v>77</v>
      </c>
      <c r="BW65" s="88" t="s">
        <v>77</v>
      </c>
      <c r="BX65" s="88" t="s">
        <v>77</v>
      </c>
      <c r="BY65" s="89" t="s">
        <v>77</v>
      </c>
      <c r="BZ65" s="88" t="s">
        <v>77</v>
      </c>
      <c r="CA65" s="88" t="s">
        <v>77</v>
      </c>
      <c r="CB65" s="89" t="s">
        <v>77</v>
      </c>
      <c r="CC65" s="88" t="s">
        <v>77</v>
      </c>
      <c r="CD65" s="88" t="s">
        <v>77</v>
      </c>
      <c r="CE65" s="89" t="s">
        <v>77</v>
      </c>
      <c r="CF65" s="88" t="s">
        <v>77</v>
      </c>
      <c r="CG65" s="88" t="s">
        <v>77</v>
      </c>
      <c r="CH65" s="89" t="s">
        <v>77</v>
      </c>
      <c r="CI65" s="41">
        <f t="shared" si="226"/>
        <v>0</v>
      </c>
      <c r="CJ65" s="41">
        <f t="shared" si="227"/>
        <v>0</v>
      </c>
      <c r="CK65" s="41">
        <f t="shared" si="228"/>
        <v>0</v>
      </c>
      <c r="CL65" s="41">
        <f t="shared" si="229"/>
        <v>0</v>
      </c>
      <c r="CM65" s="88" t="s">
        <v>77</v>
      </c>
      <c r="CN65" s="88" t="s">
        <v>77</v>
      </c>
      <c r="CO65" s="89" t="s">
        <v>77</v>
      </c>
      <c r="CP65" s="88" t="s">
        <v>77</v>
      </c>
      <c r="CQ65" s="88" t="s">
        <v>77</v>
      </c>
      <c r="CR65" s="89" t="s">
        <v>77</v>
      </c>
      <c r="CS65" s="88" t="s">
        <v>77</v>
      </c>
      <c r="CT65" s="88" t="s">
        <v>77</v>
      </c>
      <c r="CU65" s="89" t="s">
        <v>77</v>
      </c>
      <c r="CV65" s="88" t="s">
        <v>77</v>
      </c>
      <c r="CW65" s="88" t="s">
        <v>77</v>
      </c>
      <c r="CX65" s="89" t="s">
        <v>77</v>
      </c>
      <c r="CY65" s="647"/>
      <c r="CZ65" s="646"/>
      <c r="DA65" s="644"/>
      <c r="DB65" s="644"/>
      <c r="DC65" s="644"/>
      <c r="DD65" s="275"/>
      <c r="DE65" s="271" t="s">
        <v>456</v>
      </c>
      <c r="DF65" s="285" t="s">
        <v>57</v>
      </c>
      <c r="DG65" s="285" t="s">
        <v>57</v>
      </c>
      <c r="DH65" s="285" t="s">
        <v>57</v>
      </c>
      <c r="DI65" s="285" t="s">
        <v>57</v>
      </c>
      <c r="DJ65" s="272" t="s">
        <v>77</v>
      </c>
      <c r="DK65" s="272" t="s">
        <v>77</v>
      </c>
      <c r="DL65" s="272" t="s">
        <v>77</v>
      </c>
      <c r="DM65" s="272" t="s">
        <v>77</v>
      </c>
      <c r="DN65" s="272" t="s">
        <v>77</v>
      </c>
      <c r="DO65" s="520"/>
      <c r="DP65" s="520"/>
      <c r="DS65" s="271" t="s">
        <v>155</v>
      </c>
      <c r="DT65" s="106"/>
      <c r="DU65" s="28"/>
      <c r="DV65" s="28"/>
      <c r="DW65" s="28"/>
      <c r="DX65" s="28"/>
      <c r="DY65" s="28"/>
      <c r="DZ65" s="28"/>
      <c r="EA65" s="28"/>
      <c r="EB65" s="28"/>
    </row>
    <row r="66" spans="1:132" ht="120" customHeight="1" x14ac:dyDescent="0.2">
      <c r="A66" s="759"/>
      <c r="B66" s="94" t="s">
        <v>49</v>
      </c>
      <c r="C66" s="776"/>
      <c r="D66" s="254">
        <v>705</v>
      </c>
      <c r="E66" s="666"/>
      <c r="F66" s="709"/>
      <c r="G66" s="709"/>
      <c r="H66" s="709"/>
      <c r="I66" s="701"/>
      <c r="J66" s="666"/>
      <c r="K66" s="272"/>
      <c r="L66" s="272" t="s">
        <v>11</v>
      </c>
      <c r="M66" s="310">
        <v>1</v>
      </c>
      <c r="N66" s="11" t="s">
        <v>77</v>
      </c>
      <c r="O66" s="11" t="s">
        <v>77</v>
      </c>
      <c r="P66" s="303" t="s">
        <v>77</v>
      </c>
      <c r="Q66" s="3">
        <v>0</v>
      </c>
      <c r="R66" s="3">
        <v>0</v>
      </c>
      <c r="S66" s="4">
        <v>0</v>
      </c>
      <c r="T66" s="4">
        <v>0</v>
      </c>
      <c r="U66" s="4">
        <v>0</v>
      </c>
      <c r="V66" s="4">
        <v>0</v>
      </c>
      <c r="W66" s="51" t="s">
        <v>77</v>
      </c>
      <c r="X66" s="51" t="s">
        <v>77</v>
      </c>
      <c r="Y66" s="145">
        <f t="shared" si="205"/>
        <v>0</v>
      </c>
      <c r="Z66" s="145">
        <f t="shared" si="206"/>
        <v>0</v>
      </c>
      <c r="AA66" s="145">
        <f t="shared" si="207"/>
        <v>0</v>
      </c>
      <c r="AB66" s="145">
        <f t="shared" si="215"/>
        <v>0</v>
      </c>
      <c r="AC66" s="145">
        <f t="shared" si="216"/>
        <v>0</v>
      </c>
      <c r="AD66" s="145">
        <f t="shared" si="208"/>
        <v>0</v>
      </c>
      <c r="AE66" s="145">
        <f t="shared" si="209"/>
        <v>0</v>
      </c>
      <c r="AF66" s="145">
        <f t="shared" si="217"/>
        <v>0</v>
      </c>
      <c r="AG66" s="145">
        <f t="shared" si="218"/>
        <v>0</v>
      </c>
      <c r="AH66" s="76">
        <v>250000</v>
      </c>
      <c r="AI66" s="76">
        <v>750000</v>
      </c>
      <c r="AJ66" s="76">
        <f t="shared" si="230"/>
        <v>500000</v>
      </c>
      <c r="AK66" s="76">
        <f t="shared" si="231"/>
        <v>250000</v>
      </c>
      <c r="AL66" s="76">
        <f t="shared" si="232"/>
        <v>750000</v>
      </c>
      <c r="AM66" s="76">
        <f t="shared" si="196"/>
        <v>500000</v>
      </c>
      <c r="AN66" s="104">
        <v>0.45</v>
      </c>
      <c r="AO66" s="76">
        <v>0</v>
      </c>
      <c r="AP66" s="76">
        <f t="shared" si="233"/>
        <v>350000</v>
      </c>
      <c r="AQ66" s="76">
        <f t="shared" si="234"/>
        <v>1050000</v>
      </c>
      <c r="AR66" s="76">
        <f t="shared" si="53"/>
        <v>700000</v>
      </c>
      <c r="AS66" s="111">
        <v>50000</v>
      </c>
      <c r="AT66" s="111">
        <v>75000</v>
      </c>
      <c r="AU66" s="76">
        <f t="shared" si="235"/>
        <v>62500</v>
      </c>
      <c r="AV66" s="76">
        <f t="shared" si="236"/>
        <v>50000</v>
      </c>
      <c r="AW66" s="76">
        <f t="shared" si="237"/>
        <v>75000</v>
      </c>
      <c r="AX66" s="76">
        <f t="shared" si="197"/>
        <v>62500</v>
      </c>
      <c r="AY66" s="51">
        <v>0</v>
      </c>
      <c r="AZ66" s="51">
        <v>0</v>
      </c>
      <c r="BA66" s="51">
        <v>0</v>
      </c>
      <c r="BB66" s="327"/>
      <c r="BC66" s="76">
        <f t="shared" si="238"/>
        <v>350000</v>
      </c>
      <c r="BD66" s="76">
        <f t="shared" si="239"/>
        <v>1050000</v>
      </c>
      <c r="BE66" s="76">
        <f t="shared" si="42"/>
        <v>700000</v>
      </c>
      <c r="BF66" s="76">
        <f t="shared" si="240"/>
        <v>50000</v>
      </c>
      <c r="BG66" s="76">
        <f t="shared" si="241"/>
        <v>75000</v>
      </c>
      <c r="BH66" s="76">
        <f t="shared" si="7"/>
        <v>62500</v>
      </c>
      <c r="BI66" s="4">
        <v>10</v>
      </c>
      <c r="BJ66" s="76">
        <v>200000</v>
      </c>
      <c r="BK66" s="76">
        <f t="shared" si="204"/>
        <v>400000</v>
      </c>
      <c r="BL66" s="111">
        <f t="shared" si="225"/>
        <v>198160.54728275197</v>
      </c>
      <c r="BM66" s="4">
        <f t="shared" si="210"/>
        <v>0</v>
      </c>
      <c r="BN66" s="4">
        <f t="shared" si="57"/>
        <v>0</v>
      </c>
      <c r="BO66" s="4">
        <f t="shared" si="201"/>
        <v>0</v>
      </c>
      <c r="BP66" s="4">
        <f t="shared" si="58"/>
        <v>0</v>
      </c>
      <c r="BQ66" s="324">
        <f t="shared" si="211"/>
        <v>0</v>
      </c>
      <c r="BR66" s="324">
        <f t="shared" si="212"/>
        <v>0</v>
      </c>
      <c r="BS66" s="324">
        <f t="shared" si="202"/>
        <v>0</v>
      </c>
      <c r="BT66" s="324">
        <f t="shared" si="203"/>
        <v>0</v>
      </c>
      <c r="BU66" s="76">
        <f t="shared" si="198"/>
        <v>1478888.1464087493</v>
      </c>
      <c r="BV66" s="111" t="s">
        <v>77</v>
      </c>
      <c r="BW66" s="88" t="s">
        <v>77</v>
      </c>
      <c r="BX66" s="88" t="s">
        <v>77</v>
      </c>
      <c r="BY66" s="89" t="s">
        <v>77</v>
      </c>
      <c r="BZ66" s="88" t="s">
        <v>77</v>
      </c>
      <c r="CA66" s="88" t="s">
        <v>77</v>
      </c>
      <c r="CB66" s="89" t="s">
        <v>77</v>
      </c>
      <c r="CC66" s="88" t="s">
        <v>77</v>
      </c>
      <c r="CD66" s="88" t="s">
        <v>77</v>
      </c>
      <c r="CE66" s="89" t="s">
        <v>77</v>
      </c>
      <c r="CF66" s="88" t="s">
        <v>77</v>
      </c>
      <c r="CG66" s="88" t="s">
        <v>77</v>
      </c>
      <c r="CH66" s="89" t="s">
        <v>77</v>
      </c>
      <c r="CI66" s="41">
        <f t="shared" si="226"/>
        <v>0</v>
      </c>
      <c r="CJ66" s="41">
        <f t="shared" si="227"/>
        <v>0</v>
      </c>
      <c r="CK66" s="41">
        <f t="shared" si="228"/>
        <v>0</v>
      </c>
      <c r="CL66" s="41">
        <f t="shared" si="229"/>
        <v>0</v>
      </c>
      <c r="CM66" s="88" t="s">
        <v>77</v>
      </c>
      <c r="CN66" s="88" t="s">
        <v>77</v>
      </c>
      <c r="CO66" s="89" t="s">
        <v>77</v>
      </c>
      <c r="CP66" s="88" t="s">
        <v>77</v>
      </c>
      <c r="CQ66" s="88" t="s">
        <v>77</v>
      </c>
      <c r="CR66" s="89" t="s">
        <v>77</v>
      </c>
      <c r="CS66" s="88" t="s">
        <v>77</v>
      </c>
      <c r="CT66" s="88" t="s">
        <v>77</v>
      </c>
      <c r="CU66" s="89" t="s">
        <v>77</v>
      </c>
      <c r="CV66" s="88" t="s">
        <v>77</v>
      </c>
      <c r="CW66" s="88" t="s">
        <v>77</v>
      </c>
      <c r="CX66" s="89" t="s">
        <v>77</v>
      </c>
      <c r="CY66" s="647"/>
      <c r="CZ66" s="646"/>
      <c r="DA66" s="644"/>
      <c r="DB66" s="644"/>
      <c r="DC66" s="644"/>
      <c r="DD66" s="275" t="s">
        <v>157</v>
      </c>
      <c r="DE66" s="271" t="s">
        <v>158</v>
      </c>
      <c r="DF66" s="285" t="s">
        <v>57</v>
      </c>
      <c r="DG66" s="285" t="s">
        <v>57</v>
      </c>
      <c r="DH66" s="285" t="s">
        <v>57</v>
      </c>
      <c r="DI66" s="285" t="s">
        <v>57</v>
      </c>
      <c r="DJ66" s="272" t="s">
        <v>77</v>
      </c>
      <c r="DK66" s="272" t="s">
        <v>77</v>
      </c>
      <c r="DL66" s="272" t="s">
        <v>77</v>
      </c>
      <c r="DM66" s="272" t="s">
        <v>77</v>
      </c>
      <c r="DN66" s="272" t="s">
        <v>77</v>
      </c>
      <c r="DO66" s="520"/>
      <c r="DP66" s="520"/>
      <c r="DS66" s="271" t="s">
        <v>155</v>
      </c>
      <c r="DT66" s="106"/>
      <c r="DU66" s="28"/>
      <c r="DV66" s="28"/>
      <c r="DW66" s="28"/>
      <c r="DX66" s="28"/>
      <c r="DY66" s="28"/>
      <c r="DZ66" s="28"/>
      <c r="EA66" s="28"/>
      <c r="EB66" s="28"/>
    </row>
    <row r="67" spans="1:132" ht="128.25" customHeight="1" x14ac:dyDescent="0.2">
      <c r="A67" s="759"/>
      <c r="B67" s="94" t="s">
        <v>50</v>
      </c>
      <c r="C67" s="745"/>
      <c r="D67" s="254">
        <v>706</v>
      </c>
      <c r="E67" s="666"/>
      <c r="F67" s="709"/>
      <c r="G67" s="709"/>
      <c r="H67" s="709"/>
      <c r="I67" s="702"/>
      <c r="J67" s="666"/>
      <c r="K67" s="272"/>
      <c r="L67" s="272" t="s">
        <v>11</v>
      </c>
      <c r="M67" s="310">
        <v>1</v>
      </c>
      <c r="N67" s="11" t="s">
        <v>77</v>
      </c>
      <c r="O67" s="11" t="s">
        <v>77</v>
      </c>
      <c r="P67" s="303" t="s">
        <v>77</v>
      </c>
      <c r="Q67" s="3">
        <v>0</v>
      </c>
      <c r="R67" s="3">
        <v>0</v>
      </c>
      <c r="S67" s="4">
        <v>0</v>
      </c>
      <c r="T67" s="4">
        <v>0</v>
      </c>
      <c r="U67" s="4">
        <v>0</v>
      </c>
      <c r="V67" s="4">
        <v>0</v>
      </c>
      <c r="W67" s="51" t="s">
        <v>77</v>
      </c>
      <c r="X67" s="51" t="s">
        <v>77</v>
      </c>
      <c r="Y67" s="145">
        <f t="shared" si="205"/>
        <v>0</v>
      </c>
      <c r="Z67" s="145">
        <f t="shared" si="206"/>
        <v>0</v>
      </c>
      <c r="AA67" s="145">
        <f t="shared" si="207"/>
        <v>0</v>
      </c>
      <c r="AB67" s="145">
        <f t="shared" si="215"/>
        <v>0</v>
      </c>
      <c r="AC67" s="145">
        <f t="shared" si="216"/>
        <v>0</v>
      </c>
      <c r="AD67" s="145">
        <f t="shared" si="208"/>
        <v>0</v>
      </c>
      <c r="AE67" s="145">
        <f t="shared" si="209"/>
        <v>0</v>
      </c>
      <c r="AF67" s="145">
        <f t="shared" si="217"/>
        <v>0</v>
      </c>
      <c r="AG67" s="145">
        <f t="shared" si="218"/>
        <v>0</v>
      </c>
      <c r="AH67" s="76">
        <v>10000</v>
      </c>
      <c r="AI67" s="76">
        <v>15000</v>
      </c>
      <c r="AJ67" s="76">
        <f t="shared" si="230"/>
        <v>12500</v>
      </c>
      <c r="AK67" s="76">
        <f t="shared" si="231"/>
        <v>10000</v>
      </c>
      <c r="AL67" s="76">
        <f t="shared" si="232"/>
        <v>15000</v>
      </c>
      <c r="AM67" s="76">
        <f t="shared" si="196"/>
        <v>12500</v>
      </c>
      <c r="AN67" s="104">
        <v>0.4</v>
      </c>
      <c r="AO67" s="76">
        <v>0</v>
      </c>
      <c r="AP67" s="76">
        <f t="shared" si="233"/>
        <v>14000</v>
      </c>
      <c r="AQ67" s="76">
        <f t="shared" si="234"/>
        <v>21000</v>
      </c>
      <c r="AR67" s="76">
        <f t="shared" si="53"/>
        <v>17500</v>
      </c>
      <c r="AS67" s="111">
        <v>60</v>
      </c>
      <c r="AT67" s="111">
        <v>80</v>
      </c>
      <c r="AU67" s="76">
        <f t="shared" si="235"/>
        <v>70</v>
      </c>
      <c r="AV67" s="76">
        <f t="shared" si="236"/>
        <v>60</v>
      </c>
      <c r="AW67" s="76">
        <f t="shared" si="237"/>
        <v>80</v>
      </c>
      <c r="AX67" s="76">
        <f t="shared" si="197"/>
        <v>70</v>
      </c>
      <c r="AY67" s="51">
        <v>0</v>
      </c>
      <c r="AZ67" s="51">
        <v>0</v>
      </c>
      <c r="BA67" s="51">
        <v>0</v>
      </c>
      <c r="BB67" s="327"/>
      <c r="BC67" s="76">
        <f t="shared" si="238"/>
        <v>14000</v>
      </c>
      <c r="BD67" s="76">
        <f t="shared" si="239"/>
        <v>21000</v>
      </c>
      <c r="BE67" s="76">
        <f t="shared" si="42"/>
        <v>17500</v>
      </c>
      <c r="BF67" s="76">
        <f t="shared" si="240"/>
        <v>60</v>
      </c>
      <c r="BG67" s="76">
        <f t="shared" si="241"/>
        <v>80</v>
      </c>
      <c r="BH67" s="76">
        <f t="shared" si="7"/>
        <v>70</v>
      </c>
      <c r="BI67" s="4">
        <v>10</v>
      </c>
      <c r="BJ67" s="76">
        <v>2500</v>
      </c>
      <c r="BK67" s="76">
        <f t="shared" si="204"/>
        <v>5000</v>
      </c>
      <c r="BL67" s="111">
        <f t="shared" si="225"/>
        <v>2477.0068410344002</v>
      </c>
      <c r="BM67" s="4">
        <f t="shared" si="210"/>
        <v>0</v>
      </c>
      <c r="BN67" s="4">
        <f t="shared" si="57"/>
        <v>0</v>
      </c>
      <c r="BO67" s="4">
        <f t="shared" si="201"/>
        <v>0</v>
      </c>
      <c r="BP67" s="4">
        <f t="shared" si="58"/>
        <v>0</v>
      </c>
      <c r="BQ67" s="324">
        <f t="shared" si="211"/>
        <v>0</v>
      </c>
      <c r="BR67" s="324">
        <f t="shared" si="212"/>
        <v>0</v>
      </c>
      <c r="BS67" s="324">
        <f t="shared" si="202"/>
        <v>0</v>
      </c>
      <c r="BT67" s="324">
        <f t="shared" si="203"/>
        <v>0</v>
      </c>
      <c r="BU67" s="76">
        <f t="shared" si="198"/>
        <v>18372.354723977798</v>
      </c>
      <c r="BV67" s="111" t="s">
        <v>77</v>
      </c>
      <c r="BW67" s="88" t="s">
        <v>77</v>
      </c>
      <c r="BX67" s="88" t="s">
        <v>77</v>
      </c>
      <c r="BY67" s="89" t="s">
        <v>77</v>
      </c>
      <c r="BZ67" s="88" t="s">
        <v>77</v>
      </c>
      <c r="CA67" s="88" t="s">
        <v>77</v>
      </c>
      <c r="CB67" s="89" t="s">
        <v>77</v>
      </c>
      <c r="CC67" s="88" t="s">
        <v>77</v>
      </c>
      <c r="CD67" s="88" t="s">
        <v>77</v>
      </c>
      <c r="CE67" s="89" t="s">
        <v>77</v>
      </c>
      <c r="CF67" s="88" t="s">
        <v>77</v>
      </c>
      <c r="CG67" s="88" t="s">
        <v>77</v>
      </c>
      <c r="CH67" s="89" t="s">
        <v>77</v>
      </c>
      <c r="CI67" s="41">
        <f t="shared" si="226"/>
        <v>0</v>
      </c>
      <c r="CJ67" s="41">
        <f t="shared" si="227"/>
        <v>0</v>
      </c>
      <c r="CK67" s="41">
        <f t="shared" si="228"/>
        <v>0</v>
      </c>
      <c r="CL67" s="41">
        <f t="shared" si="229"/>
        <v>0</v>
      </c>
      <c r="CM67" s="88" t="s">
        <v>77</v>
      </c>
      <c r="CN67" s="88" t="s">
        <v>77</v>
      </c>
      <c r="CO67" s="89" t="s">
        <v>77</v>
      </c>
      <c r="CP67" s="88" t="s">
        <v>77</v>
      </c>
      <c r="CQ67" s="88" t="s">
        <v>77</v>
      </c>
      <c r="CR67" s="89" t="s">
        <v>77</v>
      </c>
      <c r="CS67" s="88" t="s">
        <v>77</v>
      </c>
      <c r="CT67" s="88" t="s">
        <v>77</v>
      </c>
      <c r="CU67" s="89" t="s">
        <v>77</v>
      </c>
      <c r="CV67" s="88" t="s">
        <v>77</v>
      </c>
      <c r="CW67" s="88" t="s">
        <v>77</v>
      </c>
      <c r="CX67" s="89" t="s">
        <v>77</v>
      </c>
      <c r="CY67" s="647"/>
      <c r="CZ67" s="646"/>
      <c r="DA67" s="645"/>
      <c r="DB67" s="645"/>
      <c r="DC67" s="645"/>
      <c r="DD67" s="275"/>
      <c r="DE67" s="271" t="s">
        <v>159</v>
      </c>
      <c r="DF67" s="285" t="s">
        <v>57</v>
      </c>
      <c r="DG67" s="285" t="s">
        <v>57</v>
      </c>
      <c r="DH67" s="285" t="s">
        <v>57</v>
      </c>
      <c r="DI67" s="285" t="s">
        <v>57</v>
      </c>
      <c r="DJ67" s="272" t="s">
        <v>77</v>
      </c>
      <c r="DK67" s="272" t="s">
        <v>77</v>
      </c>
      <c r="DL67" s="272" t="s">
        <v>77</v>
      </c>
      <c r="DM67" s="272" t="s">
        <v>77</v>
      </c>
      <c r="DN67" s="272" t="s">
        <v>77</v>
      </c>
      <c r="DO67" s="520"/>
      <c r="DP67" s="520"/>
      <c r="DS67" s="271" t="s">
        <v>155</v>
      </c>
      <c r="DT67" s="106"/>
      <c r="DU67" s="28"/>
      <c r="DV67" s="28"/>
      <c r="DW67" s="28"/>
      <c r="DX67" s="28"/>
      <c r="DY67" s="28"/>
      <c r="DZ67" s="28"/>
      <c r="EA67" s="28"/>
      <c r="EB67" s="28"/>
    </row>
    <row r="68" spans="1:132" ht="198" customHeight="1" x14ac:dyDescent="0.2">
      <c r="A68" s="759"/>
      <c r="B68" s="95" t="s">
        <v>36</v>
      </c>
      <c r="C68" s="84"/>
      <c r="D68" s="280">
        <v>800</v>
      </c>
      <c r="E68" s="275" t="s">
        <v>408</v>
      </c>
      <c r="F68" s="276" t="s">
        <v>160</v>
      </c>
      <c r="G68" s="276" t="s">
        <v>77</v>
      </c>
      <c r="H68" s="276" t="s">
        <v>77</v>
      </c>
      <c r="I68" s="275" t="s">
        <v>530</v>
      </c>
      <c r="J68" s="275" t="s">
        <v>161</v>
      </c>
      <c r="K68" s="276"/>
      <c r="L68" s="276" t="s">
        <v>10</v>
      </c>
      <c r="M68" s="308">
        <v>1</v>
      </c>
      <c r="N68" s="11" t="s">
        <v>77</v>
      </c>
      <c r="O68" s="11" t="s">
        <v>77</v>
      </c>
      <c r="P68" s="303" t="s">
        <v>77</v>
      </c>
      <c r="Q68" s="3">
        <v>0</v>
      </c>
      <c r="R68" s="3">
        <v>0</v>
      </c>
      <c r="S68" s="4">
        <v>0</v>
      </c>
      <c r="T68" s="4">
        <v>0</v>
      </c>
      <c r="U68" s="4">
        <v>0</v>
      </c>
      <c r="V68" s="4">
        <v>0</v>
      </c>
      <c r="W68" s="51" t="s">
        <v>77</v>
      </c>
      <c r="X68" s="51" t="s">
        <v>77</v>
      </c>
      <c r="Y68" s="145">
        <f t="shared" si="205"/>
        <v>0</v>
      </c>
      <c r="Z68" s="145">
        <f t="shared" si="206"/>
        <v>0</v>
      </c>
      <c r="AA68" s="145">
        <f t="shared" si="207"/>
        <v>0</v>
      </c>
      <c r="AB68" s="145">
        <f t="shared" si="215"/>
        <v>0</v>
      </c>
      <c r="AC68" s="145">
        <f t="shared" si="216"/>
        <v>0</v>
      </c>
      <c r="AD68" s="145">
        <f t="shared" si="208"/>
        <v>0</v>
      </c>
      <c r="AE68" s="145">
        <f t="shared" si="209"/>
        <v>0</v>
      </c>
      <c r="AF68" s="145">
        <f t="shared" si="217"/>
        <v>0</v>
      </c>
      <c r="AG68" s="145">
        <f t="shared" si="218"/>
        <v>0</v>
      </c>
      <c r="AH68" s="76">
        <v>125</v>
      </c>
      <c r="AI68" s="76">
        <v>150</v>
      </c>
      <c r="AJ68" s="76">
        <f t="shared" si="230"/>
        <v>137.5</v>
      </c>
      <c r="AK68" s="76">
        <f t="shared" si="231"/>
        <v>125</v>
      </c>
      <c r="AL68" s="76">
        <f t="shared" si="232"/>
        <v>150</v>
      </c>
      <c r="AM68" s="76">
        <f t="shared" si="196"/>
        <v>137.5</v>
      </c>
      <c r="AN68" s="104">
        <v>0.5</v>
      </c>
      <c r="AO68" s="76">
        <v>0</v>
      </c>
      <c r="AP68" s="76">
        <f t="shared" si="233"/>
        <v>175</v>
      </c>
      <c r="AQ68" s="76">
        <f t="shared" si="234"/>
        <v>210</v>
      </c>
      <c r="AR68" s="76">
        <f t="shared" si="53"/>
        <v>192.5</v>
      </c>
      <c r="AS68" s="111">
        <v>2.15</v>
      </c>
      <c r="AT68" s="111">
        <v>3.9</v>
      </c>
      <c r="AU68" s="76">
        <f t="shared" si="235"/>
        <v>3.0249999999999999</v>
      </c>
      <c r="AV68" s="76">
        <f t="shared" si="236"/>
        <v>2.15</v>
      </c>
      <c r="AW68" s="76">
        <f t="shared" si="237"/>
        <v>3.9</v>
      </c>
      <c r="AX68" s="76">
        <f t="shared" si="197"/>
        <v>3.0249999999999999</v>
      </c>
      <c r="AY68" s="51">
        <v>0</v>
      </c>
      <c r="AZ68" s="51">
        <v>0</v>
      </c>
      <c r="BA68" s="51">
        <v>0.1</v>
      </c>
      <c r="BB68" s="327" t="s">
        <v>301</v>
      </c>
      <c r="BC68" s="76">
        <f t="shared" si="238"/>
        <v>175</v>
      </c>
      <c r="BD68" s="76">
        <f t="shared" si="239"/>
        <v>210</v>
      </c>
      <c r="BE68" s="76">
        <f t="shared" si="42"/>
        <v>192.5</v>
      </c>
      <c r="BF68" s="76">
        <f t="shared" si="240"/>
        <v>2.3650000000000002</v>
      </c>
      <c r="BG68" s="76">
        <f t="shared" si="241"/>
        <v>4.29</v>
      </c>
      <c r="BH68" s="76">
        <f t="shared" si="7"/>
        <v>3.3275000000000001</v>
      </c>
      <c r="BI68" s="4">
        <v>100</v>
      </c>
      <c r="BJ68" s="76">
        <v>0</v>
      </c>
      <c r="BK68" s="76">
        <f t="shared" si="204"/>
        <v>0</v>
      </c>
      <c r="BL68" s="111">
        <f t="shared" si="225"/>
        <v>0</v>
      </c>
      <c r="BM68" s="4">
        <f t="shared" si="210"/>
        <v>0</v>
      </c>
      <c r="BN68" s="4">
        <f t="shared" si="57"/>
        <v>0</v>
      </c>
      <c r="BO68" s="4">
        <f t="shared" si="201"/>
        <v>0</v>
      </c>
      <c r="BP68" s="4">
        <f t="shared" si="58"/>
        <v>0</v>
      </c>
      <c r="BQ68" s="324">
        <f t="shared" si="211"/>
        <v>0</v>
      </c>
      <c r="BR68" s="324">
        <f t="shared" si="212"/>
        <v>0</v>
      </c>
      <c r="BS68" s="324">
        <f t="shared" si="202"/>
        <v>0</v>
      </c>
      <c r="BT68" s="324">
        <f t="shared" si="203"/>
        <v>0</v>
      </c>
      <c r="BU68" s="76">
        <f t="shared" si="198"/>
        <v>233.96800491480181</v>
      </c>
      <c r="BV68" s="111" t="s">
        <v>77</v>
      </c>
      <c r="BW68" s="88" t="s">
        <v>77</v>
      </c>
      <c r="BX68" s="88" t="s">
        <v>77</v>
      </c>
      <c r="BY68" s="89" t="s">
        <v>77</v>
      </c>
      <c r="BZ68" s="88" t="s">
        <v>77</v>
      </c>
      <c r="CA68" s="88" t="s">
        <v>77</v>
      </c>
      <c r="CB68" s="89" t="s">
        <v>77</v>
      </c>
      <c r="CC68" s="88" t="s">
        <v>77</v>
      </c>
      <c r="CD68" s="88" t="s">
        <v>77</v>
      </c>
      <c r="CE68" s="89" t="s">
        <v>77</v>
      </c>
      <c r="CF68" s="88" t="s">
        <v>77</v>
      </c>
      <c r="CG68" s="88" t="s">
        <v>77</v>
      </c>
      <c r="CH68" s="89" t="s">
        <v>77</v>
      </c>
      <c r="CI68" s="41">
        <f t="shared" si="226"/>
        <v>0</v>
      </c>
      <c r="CJ68" s="41">
        <f t="shared" si="227"/>
        <v>0</v>
      </c>
      <c r="CK68" s="41">
        <f t="shared" si="228"/>
        <v>0</v>
      </c>
      <c r="CL68" s="41">
        <f t="shared" si="229"/>
        <v>0</v>
      </c>
      <c r="CM68" s="88" t="s">
        <v>77</v>
      </c>
      <c r="CN68" s="88" t="s">
        <v>77</v>
      </c>
      <c r="CO68" s="89" t="s">
        <v>77</v>
      </c>
      <c r="CP68" s="88" t="s">
        <v>77</v>
      </c>
      <c r="CQ68" s="88" t="s">
        <v>77</v>
      </c>
      <c r="CR68" s="89" t="s">
        <v>77</v>
      </c>
      <c r="CS68" s="88" t="s">
        <v>77</v>
      </c>
      <c r="CT68" s="88" t="s">
        <v>77</v>
      </c>
      <c r="CU68" s="89" t="s">
        <v>77</v>
      </c>
      <c r="CV68" s="88" t="s">
        <v>77</v>
      </c>
      <c r="CW68" s="88" t="s">
        <v>77</v>
      </c>
      <c r="CX68" s="89" t="s">
        <v>77</v>
      </c>
      <c r="CY68" s="286" t="s">
        <v>309</v>
      </c>
      <c r="CZ68" s="285" t="s">
        <v>56</v>
      </c>
      <c r="DA68" s="285" t="s">
        <v>57</v>
      </c>
      <c r="DB68" s="285" t="s">
        <v>77</v>
      </c>
      <c r="DC68" s="285" t="s">
        <v>57</v>
      </c>
      <c r="DD68" s="275" t="s">
        <v>162</v>
      </c>
      <c r="DE68" s="275" t="s">
        <v>163</v>
      </c>
      <c r="DF68" s="285" t="s">
        <v>57</v>
      </c>
      <c r="DG68" s="285" t="s">
        <v>57</v>
      </c>
      <c r="DH68" s="285" t="s">
        <v>57</v>
      </c>
      <c r="DI68" s="285" t="s">
        <v>57</v>
      </c>
      <c r="DJ68" s="272" t="s">
        <v>77</v>
      </c>
      <c r="DK68" s="272" t="s">
        <v>77</v>
      </c>
      <c r="DL68" s="272" t="s">
        <v>77</v>
      </c>
      <c r="DM68" s="272" t="s">
        <v>77</v>
      </c>
      <c r="DN68" s="272" t="s">
        <v>77</v>
      </c>
      <c r="DO68" s="520"/>
      <c r="DP68" s="520"/>
      <c r="DS68" s="271" t="s">
        <v>155</v>
      </c>
      <c r="DT68" s="106"/>
      <c r="DU68" s="28"/>
      <c r="DV68" s="28"/>
      <c r="DW68" s="28"/>
      <c r="DX68" s="28"/>
      <c r="DY68" s="28"/>
      <c r="DZ68" s="28"/>
      <c r="EA68" s="28"/>
      <c r="EB68" s="28"/>
    </row>
    <row r="69" spans="1:132" ht="73.5" customHeight="1" x14ac:dyDescent="0.2">
      <c r="A69" s="759"/>
      <c r="B69" s="758" t="s">
        <v>37</v>
      </c>
      <c r="C69" s="744"/>
      <c r="D69" s="278">
        <v>801</v>
      </c>
      <c r="E69" s="700" t="s">
        <v>409</v>
      </c>
      <c r="F69" s="774" t="s">
        <v>164</v>
      </c>
      <c r="G69" s="774" t="s">
        <v>77</v>
      </c>
      <c r="H69" s="774" t="s">
        <v>77</v>
      </c>
      <c r="I69" s="700" t="s">
        <v>530</v>
      </c>
      <c r="J69" s="688" t="s">
        <v>161</v>
      </c>
      <c r="K69" s="290"/>
      <c r="L69" s="276" t="s">
        <v>10</v>
      </c>
      <c r="M69" s="309">
        <v>1</v>
      </c>
      <c r="N69" s="11" t="s">
        <v>77</v>
      </c>
      <c r="O69" s="11" t="s">
        <v>77</v>
      </c>
      <c r="P69" s="303" t="s">
        <v>77</v>
      </c>
      <c r="Q69" s="3">
        <v>0</v>
      </c>
      <c r="R69" s="3">
        <v>0</v>
      </c>
      <c r="S69" s="4">
        <v>0</v>
      </c>
      <c r="T69" s="4">
        <v>0</v>
      </c>
      <c r="U69" s="4">
        <v>0</v>
      </c>
      <c r="V69" s="4">
        <v>0</v>
      </c>
      <c r="W69" s="605" t="s">
        <v>77</v>
      </c>
      <c r="X69" s="605" t="s">
        <v>77</v>
      </c>
      <c r="Y69" s="145">
        <f t="shared" si="205"/>
        <v>0</v>
      </c>
      <c r="Z69" s="145">
        <f t="shared" si="206"/>
        <v>0</v>
      </c>
      <c r="AA69" s="145">
        <f t="shared" si="207"/>
        <v>0</v>
      </c>
      <c r="AB69" s="145">
        <f t="shared" si="215"/>
        <v>0</v>
      </c>
      <c r="AC69" s="145">
        <f t="shared" si="216"/>
        <v>0</v>
      </c>
      <c r="AD69" s="145">
        <f t="shared" si="208"/>
        <v>0</v>
      </c>
      <c r="AE69" s="145">
        <f t="shared" si="209"/>
        <v>0</v>
      </c>
      <c r="AF69" s="145">
        <f t="shared" si="217"/>
        <v>0</v>
      </c>
      <c r="AG69" s="145">
        <f t="shared" si="218"/>
        <v>0</v>
      </c>
      <c r="AH69" s="76">
        <v>125</v>
      </c>
      <c r="AI69" s="76">
        <v>150</v>
      </c>
      <c r="AJ69" s="76">
        <f t="shared" si="230"/>
        <v>137.5</v>
      </c>
      <c r="AK69" s="76">
        <f t="shared" si="231"/>
        <v>125</v>
      </c>
      <c r="AL69" s="76">
        <f t="shared" si="232"/>
        <v>150</v>
      </c>
      <c r="AM69" s="76">
        <f t="shared" si="196"/>
        <v>137.5</v>
      </c>
      <c r="AN69" s="104">
        <v>0.5</v>
      </c>
      <c r="AO69" s="76">
        <v>0</v>
      </c>
      <c r="AP69" s="76">
        <f t="shared" si="233"/>
        <v>175</v>
      </c>
      <c r="AQ69" s="76">
        <f t="shared" si="234"/>
        <v>210</v>
      </c>
      <c r="AR69" s="76">
        <f t="shared" si="53"/>
        <v>192.5</v>
      </c>
      <c r="AS69" s="111">
        <v>2.15</v>
      </c>
      <c r="AT69" s="111">
        <v>3.9</v>
      </c>
      <c r="AU69" s="76">
        <f t="shared" si="235"/>
        <v>3.0249999999999999</v>
      </c>
      <c r="AV69" s="76">
        <f t="shared" si="236"/>
        <v>2.15</v>
      </c>
      <c r="AW69" s="76">
        <f t="shared" si="237"/>
        <v>3.9</v>
      </c>
      <c r="AX69" s="76">
        <f t="shared" si="197"/>
        <v>3.0249999999999999</v>
      </c>
      <c r="AY69" s="51">
        <v>0</v>
      </c>
      <c r="AZ69" s="51">
        <v>0</v>
      </c>
      <c r="BA69" s="51">
        <v>0.1</v>
      </c>
      <c r="BB69" s="328" t="s">
        <v>301</v>
      </c>
      <c r="BC69" s="76">
        <f t="shared" si="238"/>
        <v>175</v>
      </c>
      <c r="BD69" s="76">
        <f t="shared" si="239"/>
        <v>210</v>
      </c>
      <c r="BE69" s="76">
        <f t="shared" si="42"/>
        <v>192.5</v>
      </c>
      <c r="BF69" s="76">
        <f t="shared" si="240"/>
        <v>2.3650000000000002</v>
      </c>
      <c r="BG69" s="76">
        <f t="shared" si="241"/>
        <v>4.29</v>
      </c>
      <c r="BH69" s="76">
        <f t="shared" si="7"/>
        <v>3.3275000000000001</v>
      </c>
      <c r="BI69" s="4">
        <v>100</v>
      </c>
      <c r="BJ69" s="76">
        <v>0</v>
      </c>
      <c r="BK69" s="76">
        <f t="shared" si="204"/>
        <v>0</v>
      </c>
      <c r="BL69" s="111">
        <f t="shared" si="225"/>
        <v>0</v>
      </c>
      <c r="BM69" s="4">
        <f t="shared" si="210"/>
        <v>0</v>
      </c>
      <c r="BN69" s="4">
        <f t="shared" si="57"/>
        <v>0</v>
      </c>
      <c r="BO69" s="4">
        <f t="shared" si="201"/>
        <v>0</v>
      </c>
      <c r="BP69" s="4">
        <f t="shared" si="58"/>
        <v>0</v>
      </c>
      <c r="BQ69" s="324">
        <f t="shared" si="211"/>
        <v>0</v>
      </c>
      <c r="BR69" s="324">
        <f t="shared" si="212"/>
        <v>0</v>
      </c>
      <c r="BS69" s="324">
        <f t="shared" si="202"/>
        <v>0</v>
      </c>
      <c r="BT69" s="324">
        <f t="shared" si="203"/>
        <v>0</v>
      </c>
      <c r="BU69" s="76">
        <f t="shared" si="198"/>
        <v>233.96800491480181</v>
      </c>
      <c r="BV69" s="111" t="s">
        <v>77</v>
      </c>
      <c r="BW69" s="88" t="s">
        <v>77</v>
      </c>
      <c r="BX69" s="88" t="s">
        <v>77</v>
      </c>
      <c r="BY69" s="89" t="s">
        <v>77</v>
      </c>
      <c r="BZ69" s="88" t="s">
        <v>77</v>
      </c>
      <c r="CA69" s="88" t="s">
        <v>77</v>
      </c>
      <c r="CB69" s="89" t="s">
        <v>77</v>
      </c>
      <c r="CC69" s="88" t="s">
        <v>77</v>
      </c>
      <c r="CD69" s="88" t="s">
        <v>77</v>
      </c>
      <c r="CE69" s="89" t="s">
        <v>77</v>
      </c>
      <c r="CF69" s="88" t="s">
        <v>77</v>
      </c>
      <c r="CG69" s="88" t="s">
        <v>77</v>
      </c>
      <c r="CH69" s="89" t="s">
        <v>77</v>
      </c>
      <c r="CI69" s="41">
        <f t="shared" si="226"/>
        <v>0</v>
      </c>
      <c r="CJ69" s="41">
        <f t="shared" si="227"/>
        <v>0</v>
      </c>
      <c r="CK69" s="41">
        <f t="shared" si="228"/>
        <v>0</v>
      </c>
      <c r="CL69" s="41">
        <f t="shared" si="229"/>
        <v>0</v>
      </c>
      <c r="CM69" s="88" t="s">
        <v>77</v>
      </c>
      <c r="CN69" s="88" t="s">
        <v>77</v>
      </c>
      <c r="CO69" s="89" t="s">
        <v>77</v>
      </c>
      <c r="CP69" s="88" t="s">
        <v>77</v>
      </c>
      <c r="CQ69" s="88" t="s">
        <v>77</v>
      </c>
      <c r="CR69" s="89" t="s">
        <v>77</v>
      </c>
      <c r="CS69" s="88" t="s">
        <v>77</v>
      </c>
      <c r="CT69" s="88" t="s">
        <v>77</v>
      </c>
      <c r="CU69" s="89" t="s">
        <v>77</v>
      </c>
      <c r="CV69" s="88" t="s">
        <v>77</v>
      </c>
      <c r="CW69" s="88" t="s">
        <v>77</v>
      </c>
      <c r="CX69" s="89" t="s">
        <v>77</v>
      </c>
      <c r="CY69" s="647" t="s">
        <v>309</v>
      </c>
      <c r="CZ69" s="646" t="s">
        <v>56</v>
      </c>
      <c r="DA69" s="643" t="s">
        <v>57</v>
      </c>
      <c r="DB69" s="643" t="s">
        <v>77</v>
      </c>
      <c r="DC69" s="643" t="s">
        <v>57</v>
      </c>
      <c r="DD69" s="688" t="s">
        <v>165</v>
      </c>
      <c r="DE69" s="688" t="s">
        <v>259</v>
      </c>
      <c r="DF69" s="285" t="s">
        <v>57</v>
      </c>
      <c r="DG69" s="285" t="s">
        <v>57</v>
      </c>
      <c r="DH69" s="285" t="s">
        <v>57</v>
      </c>
      <c r="DI69" s="285" t="s">
        <v>57</v>
      </c>
      <c r="DJ69" s="272" t="s">
        <v>77</v>
      </c>
      <c r="DK69" s="272" t="s">
        <v>77</v>
      </c>
      <c r="DL69" s="272" t="s">
        <v>77</v>
      </c>
      <c r="DM69" s="272" t="s">
        <v>77</v>
      </c>
      <c r="DN69" s="272" t="s">
        <v>77</v>
      </c>
      <c r="DO69" s="520"/>
      <c r="DP69" s="520"/>
      <c r="DS69" s="666" t="s">
        <v>155</v>
      </c>
      <c r="DT69" s="106"/>
      <c r="DU69" s="28"/>
      <c r="DV69" s="28"/>
      <c r="DW69" s="28"/>
      <c r="DX69" s="28"/>
      <c r="DY69" s="28"/>
      <c r="DZ69" s="28"/>
      <c r="EA69" s="28"/>
      <c r="EB69" s="28"/>
    </row>
    <row r="70" spans="1:132" ht="13.15" customHeight="1" x14ac:dyDescent="0.2">
      <c r="A70" s="759"/>
      <c r="B70" s="758"/>
      <c r="C70" s="776"/>
      <c r="D70" s="279">
        <v>802</v>
      </c>
      <c r="E70" s="701"/>
      <c r="F70" s="774"/>
      <c r="G70" s="774"/>
      <c r="H70" s="774"/>
      <c r="I70" s="701"/>
      <c r="J70" s="688"/>
      <c r="K70" s="255"/>
      <c r="L70" s="272" t="s">
        <v>235</v>
      </c>
      <c r="M70" s="309">
        <v>1</v>
      </c>
      <c r="N70" s="11" t="s">
        <v>77</v>
      </c>
      <c r="O70" s="11" t="s">
        <v>77</v>
      </c>
      <c r="P70" s="303" t="s">
        <v>77</v>
      </c>
      <c r="Q70" s="3">
        <v>0</v>
      </c>
      <c r="R70" s="3">
        <v>0</v>
      </c>
      <c r="S70" s="4">
        <v>0</v>
      </c>
      <c r="T70" s="4">
        <v>0</v>
      </c>
      <c r="U70" s="4">
        <v>0</v>
      </c>
      <c r="V70" s="4">
        <v>0</v>
      </c>
      <c r="W70" s="829"/>
      <c r="X70" s="829"/>
      <c r="Y70" s="145">
        <f t="shared" si="205"/>
        <v>0</v>
      </c>
      <c r="Z70" s="145">
        <f t="shared" si="206"/>
        <v>0</v>
      </c>
      <c r="AA70" s="145">
        <f t="shared" si="207"/>
        <v>0</v>
      </c>
      <c r="AB70" s="145">
        <f t="shared" si="215"/>
        <v>0</v>
      </c>
      <c r="AC70" s="145">
        <f t="shared" si="216"/>
        <v>0</v>
      </c>
      <c r="AD70" s="145">
        <f t="shared" si="208"/>
        <v>0</v>
      </c>
      <c r="AE70" s="145">
        <f t="shared" si="209"/>
        <v>0</v>
      </c>
      <c r="AF70" s="145">
        <f t="shared" si="217"/>
        <v>0</v>
      </c>
      <c r="AG70" s="145">
        <f t="shared" si="218"/>
        <v>0</v>
      </c>
      <c r="AH70" s="76">
        <v>10000</v>
      </c>
      <c r="AI70" s="76">
        <v>15000</v>
      </c>
      <c r="AJ70" s="76">
        <f t="shared" si="230"/>
        <v>12500</v>
      </c>
      <c r="AK70" s="76">
        <f t="shared" si="231"/>
        <v>10000</v>
      </c>
      <c r="AL70" s="76">
        <f t="shared" si="232"/>
        <v>15000</v>
      </c>
      <c r="AM70" s="76">
        <f t="shared" si="196"/>
        <v>12500</v>
      </c>
      <c r="AN70" s="104">
        <v>0.4</v>
      </c>
      <c r="AO70" s="76">
        <v>0</v>
      </c>
      <c r="AP70" s="76">
        <f t="shared" si="233"/>
        <v>14000</v>
      </c>
      <c r="AQ70" s="76">
        <f t="shared" si="234"/>
        <v>21000</v>
      </c>
      <c r="AR70" s="76">
        <f t="shared" si="53"/>
        <v>17500</v>
      </c>
      <c r="AS70" s="111">
        <v>60</v>
      </c>
      <c r="AT70" s="111">
        <v>80</v>
      </c>
      <c r="AU70" s="76">
        <f t="shared" si="235"/>
        <v>70</v>
      </c>
      <c r="AV70" s="111">
        <f t="shared" si="236"/>
        <v>60</v>
      </c>
      <c r="AW70" s="111">
        <f t="shared" si="237"/>
        <v>80</v>
      </c>
      <c r="AX70" s="111">
        <f t="shared" si="197"/>
        <v>70</v>
      </c>
      <c r="AY70" s="51">
        <v>0</v>
      </c>
      <c r="AZ70" s="51">
        <v>0</v>
      </c>
      <c r="BA70" s="51">
        <v>0</v>
      </c>
      <c r="BB70" s="327"/>
      <c r="BC70" s="76">
        <f t="shared" si="238"/>
        <v>14000</v>
      </c>
      <c r="BD70" s="76">
        <f t="shared" si="239"/>
        <v>21000</v>
      </c>
      <c r="BE70" s="76">
        <f t="shared" si="42"/>
        <v>17500</v>
      </c>
      <c r="BF70" s="76">
        <f t="shared" si="240"/>
        <v>60</v>
      </c>
      <c r="BG70" s="76">
        <f t="shared" si="241"/>
        <v>80</v>
      </c>
      <c r="BH70" s="76">
        <f t="shared" si="7"/>
        <v>70</v>
      </c>
      <c r="BI70" s="4">
        <v>10</v>
      </c>
      <c r="BJ70" s="76">
        <v>2500</v>
      </c>
      <c r="BK70" s="76">
        <f t="shared" si="204"/>
        <v>5000</v>
      </c>
      <c r="BL70" s="111">
        <f t="shared" si="225"/>
        <v>2477.0068410344002</v>
      </c>
      <c r="BM70" s="4">
        <f t="shared" si="210"/>
        <v>0</v>
      </c>
      <c r="BN70" s="4">
        <f t="shared" si="57"/>
        <v>0</v>
      </c>
      <c r="BO70" s="4">
        <f t="shared" si="201"/>
        <v>0</v>
      </c>
      <c r="BP70" s="4">
        <f t="shared" si="58"/>
        <v>0</v>
      </c>
      <c r="BQ70" s="324">
        <f t="shared" si="211"/>
        <v>0</v>
      </c>
      <c r="BR70" s="324">
        <f t="shared" si="212"/>
        <v>0</v>
      </c>
      <c r="BS70" s="324">
        <f t="shared" si="202"/>
        <v>0</v>
      </c>
      <c r="BT70" s="324">
        <f t="shared" si="203"/>
        <v>0</v>
      </c>
      <c r="BU70" s="76">
        <f t="shared" si="198"/>
        <v>18372.354723977798</v>
      </c>
      <c r="BV70" s="111" t="s">
        <v>77</v>
      </c>
      <c r="BW70" s="88" t="s">
        <v>77</v>
      </c>
      <c r="BX70" s="88" t="s">
        <v>77</v>
      </c>
      <c r="BY70" s="89" t="s">
        <v>77</v>
      </c>
      <c r="BZ70" s="88" t="s">
        <v>77</v>
      </c>
      <c r="CA70" s="88" t="s">
        <v>77</v>
      </c>
      <c r="CB70" s="89" t="s">
        <v>77</v>
      </c>
      <c r="CC70" s="88" t="s">
        <v>77</v>
      </c>
      <c r="CD70" s="88" t="s">
        <v>77</v>
      </c>
      <c r="CE70" s="89" t="s">
        <v>77</v>
      </c>
      <c r="CF70" s="88" t="s">
        <v>77</v>
      </c>
      <c r="CG70" s="88" t="s">
        <v>77</v>
      </c>
      <c r="CH70" s="89" t="s">
        <v>77</v>
      </c>
      <c r="CI70" s="41">
        <f t="shared" si="226"/>
        <v>0</v>
      </c>
      <c r="CJ70" s="41">
        <f t="shared" si="227"/>
        <v>0</v>
      </c>
      <c r="CK70" s="41">
        <f t="shared" si="228"/>
        <v>0</v>
      </c>
      <c r="CL70" s="41">
        <f t="shared" si="229"/>
        <v>0</v>
      </c>
      <c r="CM70" s="88" t="s">
        <v>77</v>
      </c>
      <c r="CN70" s="88" t="s">
        <v>77</v>
      </c>
      <c r="CO70" s="89" t="s">
        <v>77</v>
      </c>
      <c r="CP70" s="88" t="s">
        <v>77</v>
      </c>
      <c r="CQ70" s="88" t="s">
        <v>77</v>
      </c>
      <c r="CR70" s="89" t="s">
        <v>77</v>
      </c>
      <c r="CS70" s="88" t="s">
        <v>77</v>
      </c>
      <c r="CT70" s="88" t="s">
        <v>77</v>
      </c>
      <c r="CU70" s="89" t="s">
        <v>77</v>
      </c>
      <c r="CV70" s="88" t="s">
        <v>77</v>
      </c>
      <c r="CW70" s="88" t="s">
        <v>77</v>
      </c>
      <c r="CX70" s="89" t="s">
        <v>77</v>
      </c>
      <c r="CY70" s="647"/>
      <c r="CZ70" s="646"/>
      <c r="DA70" s="644"/>
      <c r="DB70" s="644"/>
      <c r="DC70" s="644"/>
      <c r="DD70" s="688"/>
      <c r="DE70" s="688"/>
      <c r="DF70" s="285" t="s">
        <v>57</v>
      </c>
      <c r="DG70" s="285" t="s">
        <v>57</v>
      </c>
      <c r="DH70" s="285" t="s">
        <v>57</v>
      </c>
      <c r="DI70" s="285" t="s">
        <v>57</v>
      </c>
      <c r="DJ70" s="272" t="s">
        <v>77</v>
      </c>
      <c r="DK70" s="272" t="s">
        <v>77</v>
      </c>
      <c r="DL70" s="272" t="s">
        <v>77</v>
      </c>
      <c r="DM70" s="272" t="s">
        <v>77</v>
      </c>
      <c r="DN70" s="272" t="s">
        <v>77</v>
      </c>
      <c r="DO70" s="520"/>
      <c r="DP70" s="520"/>
      <c r="DS70" s="666"/>
      <c r="DT70" s="106"/>
      <c r="DU70" s="28"/>
      <c r="DV70" s="28"/>
      <c r="DW70" s="28"/>
      <c r="DX70" s="28"/>
      <c r="DY70" s="28"/>
      <c r="DZ70" s="28"/>
      <c r="EA70" s="28"/>
      <c r="EB70" s="28"/>
    </row>
    <row r="71" spans="1:132" ht="168.75" customHeight="1" x14ac:dyDescent="0.2">
      <c r="A71" s="759"/>
      <c r="B71" s="758"/>
      <c r="C71" s="745"/>
      <c r="D71" s="280">
        <v>803</v>
      </c>
      <c r="E71" s="702"/>
      <c r="F71" s="774"/>
      <c r="G71" s="774"/>
      <c r="H71" s="774"/>
      <c r="I71" s="702"/>
      <c r="J71" s="688"/>
      <c r="K71" s="291"/>
      <c r="L71" s="63" t="s">
        <v>166</v>
      </c>
      <c r="M71" s="308">
        <v>1</v>
      </c>
      <c r="N71" s="11" t="s">
        <v>77</v>
      </c>
      <c r="O71" s="11" t="s">
        <v>77</v>
      </c>
      <c r="P71" s="303" t="s">
        <v>77</v>
      </c>
      <c r="Q71" s="3">
        <v>0</v>
      </c>
      <c r="R71" s="3">
        <v>0</v>
      </c>
      <c r="S71" s="4">
        <v>0</v>
      </c>
      <c r="T71" s="4">
        <v>0</v>
      </c>
      <c r="U71" s="4">
        <v>0</v>
      </c>
      <c r="V71" s="4">
        <v>0</v>
      </c>
      <c r="W71" s="606"/>
      <c r="X71" s="606"/>
      <c r="Y71" s="145">
        <f t="shared" si="205"/>
        <v>0</v>
      </c>
      <c r="Z71" s="145">
        <f t="shared" si="206"/>
        <v>0</v>
      </c>
      <c r="AA71" s="145">
        <f t="shared" si="207"/>
        <v>0</v>
      </c>
      <c r="AB71" s="145">
        <f t="shared" si="215"/>
        <v>0</v>
      </c>
      <c r="AC71" s="145">
        <f t="shared" si="216"/>
        <v>0</v>
      </c>
      <c r="AD71" s="145">
        <f t="shared" si="208"/>
        <v>0</v>
      </c>
      <c r="AE71" s="145">
        <f t="shared" si="209"/>
        <v>0</v>
      </c>
      <c r="AF71" s="145">
        <f t="shared" si="217"/>
        <v>0</v>
      </c>
      <c r="AG71" s="145">
        <f t="shared" si="218"/>
        <v>0</v>
      </c>
      <c r="AH71" s="76">
        <v>1000</v>
      </c>
      <c r="AI71" s="76">
        <v>7500</v>
      </c>
      <c r="AJ71" s="76">
        <f t="shared" si="230"/>
        <v>4250</v>
      </c>
      <c r="AK71" s="76">
        <f t="shared" si="231"/>
        <v>1000</v>
      </c>
      <c r="AL71" s="76">
        <f t="shared" si="232"/>
        <v>7500</v>
      </c>
      <c r="AM71" s="76">
        <f t="shared" si="196"/>
        <v>4250</v>
      </c>
      <c r="AN71" s="104">
        <v>0.55000000000000004</v>
      </c>
      <c r="AO71" s="76">
        <v>0</v>
      </c>
      <c r="AP71" s="76">
        <f t="shared" si="233"/>
        <v>1400</v>
      </c>
      <c r="AQ71" s="76">
        <f t="shared" si="234"/>
        <v>10500</v>
      </c>
      <c r="AR71" s="76">
        <f t="shared" si="53"/>
        <v>5950</v>
      </c>
      <c r="AS71" s="204">
        <v>2</v>
      </c>
      <c r="AT71" s="204">
        <v>4</v>
      </c>
      <c r="AU71" s="89">
        <f t="shared" si="235"/>
        <v>3</v>
      </c>
      <c r="AV71" s="204">
        <f t="shared" si="236"/>
        <v>2</v>
      </c>
      <c r="AW71" s="204">
        <f t="shared" si="237"/>
        <v>4</v>
      </c>
      <c r="AX71" s="204">
        <f t="shared" si="197"/>
        <v>3</v>
      </c>
      <c r="AY71" s="51">
        <v>0</v>
      </c>
      <c r="AZ71" s="51">
        <v>-0.2</v>
      </c>
      <c r="BA71" s="51">
        <v>0</v>
      </c>
      <c r="BB71" s="327" t="s">
        <v>299</v>
      </c>
      <c r="BC71" s="76">
        <f t="shared" si="238"/>
        <v>1120</v>
      </c>
      <c r="BD71" s="76">
        <f t="shared" si="239"/>
        <v>8400</v>
      </c>
      <c r="BE71" s="76">
        <f t="shared" si="42"/>
        <v>4760</v>
      </c>
      <c r="BF71" s="111">
        <f t="shared" si="240"/>
        <v>2</v>
      </c>
      <c r="BG71" s="111">
        <f t="shared" si="241"/>
        <v>4</v>
      </c>
      <c r="BH71" s="111">
        <f t="shared" si="7"/>
        <v>3</v>
      </c>
      <c r="BI71" s="4">
        <v>100</v>
      </c>
      <c r="BJ71" s="76">
        <v>0</v>
      </c>
      <c r="BK71" s="76">
        <f t="shared" si="204"/>
        <v>0</v>
      </c>
      <c r="BL71" s="111">
        <f t="shared" si="225"/>
        <v>0</v>
      </c>
      <c r="BM71" s="4">
        <f t="shared" si="210"/>
        <v>0</v>
      </c>
      <c r="BN71" s="4">
        <f t="shared" si="57"/>
        <v>0</v>
      </c>
      <c r="BO71" s="4">
        <f t="shared" si="201"/>
        <v>0</v>
      </c>
      <c r="BP71" s="4">
        <f t="shared" si="58"/>
        <v>0</v>
      </c>
      <c r="BQ71" s="324">
        <f t="shared" si="211"/>
        <v>0</v>
      </c>
      <c r="BR71" s="324">
        <f t="shared" si="212"/>
        <v>0</v>
      </c>
      <c r="BS71" s="324">
        <f t="shared" si="202"/>
        <v>0</v>
      </c>
      <c r="BT71" s="324">
        <f t="shared" si="203"/>
        <v>0</v>
      </c>
      <c r="BU71" s="76">
        <f t="shared" si="198"/>
        <v>4797.3866310276198</v>
      </c>
      <c r="BV71" s="111" t="s">
        <v>77</v>
      </c>
      <c r="BW71" s="88" t="s">
        <v>77</v>
      </c>
      <c r="BX71" s="88" t="s">
        <v>77</v>
      </c>
      <c r="BY71" s="89" t="s">
        <v>77</v>
      </c>
      <c r="BZ71" s="88" t="s">
        <v>77</v>
      </c>
      <c r="CA71" s="88" t="s">
        <v>77</v>
      </c>
      <c r="CB71" s="89" t="s">
        <v>77</v>
      </c>
      <c r="CC71" s="88" t="s">
        <v>77</v>
      </c>
      <c r="CD71" s="88" t="s">
        <v>77</v>
      </c>
      <c r="CE71" s="89" t="s">
        <v>77</v>
      </c>
      <c r="CF71" s="88" t="s">
        <v>77</v>
      </c>
      <c r="CG71" s="88" t="s">
        <v>77</v>
      </c>
      <c r="CH71" s="89" t="s">
        <v>77</v>
      </c>
      <c r="CI71" s="41">
        <f t="shared" si="226"/>
        <v>0</v>
      </c>
      <c r="CJ71" s="41">
        <f t="shared" si="227"/>
        <v>0</v>
      </c>
      <c r="CK71" s="41">
        <f t="shared" si="228"/>
        <v>0</v>
      </c>
      <c r="CL71" s="41">
        <f t="shared" si="229"/>
        <v>0</v>
      </c>
      <c r="CM71" s="88" t="s">
        <v>77</v>
      </c>
      <c r="CN71" s="88" t="s">
        <v>77</v>
      </c>
      <c r="CO71" s="89" t="s">
        <v>77</v>
      </c>
      <c r="CP71" s="88" t="s">
        <v>77</v>
      </c>
      <c r="CQ71" s="88" t="s">
        <v>77</v>
      </c>
      <c r="CR71" s="89" t="s">
        <v>77</v>
      </c>
      <c r="CS71" s="88" t="s">
        <v>77</v>
      </c>
      <c r="CT71" s="88" t="s">
        <v>77</v>
      </c>
      <c r="CU71" s="89" t="s">
        <v>77</v>
      </c>
      <c r="CV71" s="88" t="s">
        <v>77</v>
      </c>
      <c r="CW71" s="88" t="s">
        <v>77</v>
      </c>
      <c r="CX71" s="89" t="s">
        <v>77</v>
      </c>
      <c r="CY71" s="647"/>
      <c r="CZ71" s="646"/>
      <c r="DA71" s="645"/>
      <c r="DB71" s="645"/>
      <c r="DC71" s="645"/>
      <c r="DD71" s="688"/>
      <c r="DE71" s="688"/>
      <c r="DF71" s="285" t="s">
        <v>57</v>
      </c>
      <c r="DG71" s="285" t="s">
        <v>57</v>
      </c>
      <c r="DH71" s="285" t="s">
        <v>57</v>
      </c>
      <c r="DI71" s="285" t="s">
        <v>57</v>
      </c>
      <c r="DJ71" s="272" t="s">
        <v>77</v>
      </c>
      <c r="DK71" s="272" t="s">
        <v>77</v>
      </c>
      <c r="DL71" s="272" t="s">
        <v>77</v>
      </c>
      <c r="DM71" s="272" t="s">
        <v>77</v>
      </c>
      <c r="DN71" s="272" t="s">
        <v>77</v>
      </c>
      <c r="DO71" s="520"/>
      <c r="DP71" s="520"/>
      <c r="DS71" s="666"/>
      <c r="DT71" s="105"/>
      <c r="DU71" s="29"/>
      <c r="DV71" s="29"/>
      <c r="DW71" s="29"/>
      <c r="DX71" s="29"/>
      <c r="DY71" s="29"/>
      <c r="DZ71" s="29"/>
      <c r="EA71" s="29"/>
      <c r="EB71" s="29"/>
    </row>
    <row r="72" spans="1:132" ht="235.5" customHeight="1" x14ac:dyDescent="0.2">
      <c r="A72" s="759" t="s">
        <v>44</v>
      </c>
      <c r="B72" s="282" t="s">
        <v>280</v>
      </c>
      <c r="C72" s="84"/>
      <c r="D72" s="235">
        <v>804</v>
      </c>
      <c r="E72" s="64" t="s">
        <v>318</v>
      </c>
      <c r="F72" s="276" t="s">
        <v>281</v>
      </c>
      <c r="G72" s="276" t="s">
        <v>77</v>
      </c>
      <c r="H72" s="276" t="s">
        <v>77</v>
      </c>
      <c r="I72" s="275" t="s">
        <v>527</v>
      </c>
      <c r="J72" s="271" t="s">
        <v>149</v>
      </c>
      <c r="K72" s="256"/>
      <c r="L72" s="63" t="s">
        <v>38</v>
      </c>
      <c r="M72" s="308">
        <v>1</v>
      </c>
      <c r="N72" s="11" t="s">
        <v>77</v>
      </c>
      <c r="O72" s="11" t="s">
        <v>77</v>
      </c>
      <c r="P72" s="303" t="s">
        <v>77</v>
      </c>
      <c r="Q72" s="101">
        <v>40</v>
      </c>
      <c r="R72" s="101">
        <v>8</v>
      </c>
      <c r="S72" s="4"/>
      <c r="T72" s="4"/>
      <c r="U72" s="4"/>
      <c r="V72" s="4"/>
      <c r="W72" s="51"/>
      <c r="X72" s="51" t="s">
        <v>77</v>
      </c>
      <c r="Y72" s="145">
        <f t="shared" si="205"/>
        <v>0</v>
      </c>
      <c r="Z72" s="145">
        <f t="shared" si="206"/>
        <v>0</v>
      </c>
      <c r="AA72" s="145">
        <f t="shared" si="207"/>
        <v>0</v>
      </c>
      <c r="AB72" s="145">
        <f t="shared" si="215"/>
        <v>0</v>
      </c>
      <c r="AC72" s="145">
        <f t="shared" si="216"/>
        <v>0</v>
      </c>
      <c r="AD72" s="145">
        <f t="shared" si="208"/>
        <v>0</v>
      </c>
      <c r="AE72" s="145">
        <f t="shared" si="209"/>
        <v>0</v>
      </c>
      <c r="AF72" s="145">
        <f t="shared" si="217"/>
        <v>0</v>
      </c>
      <c r="AG72" s="145">
        <f t="shared" si="218"/>
        <v>0</v>
      </c>
      <c r="AH72" s="89">
        <v>1.5</v>
      </c>
      <c r="AI72" s="89">
        <v>2.5</v>
      </c>
      <c r="AJ72" s="89">
        <f t="shared" si="230"/>
        <v>2</v>
      </c>
      <c r="AK72" s="89">
        <f t="shared" si="231"/>
        <v>1.5</v>
      </c>
      <c r="AL72" s="89">
        <f t="shared" si="232"/>
        <v>2.5</v>
      </c>
      <c r="AM72" s="89">
        <f t="shared" si="196"/>
        <v>2</v>
      </c>
      <c r="AN72" s="104">
        <v>0.85</v>
      </c>
      <c r="AO72" s="104"/>
      <c r="AP72" s="89">
        <f>AK72*(1+$AN$2)</f>
        <v>2.0999999999999996</v>
      </c>
      <c r="AQ72" s="89">
        <f>AL72*(1+$AN$2)</f>
        <v>3.5</v>
      </c>
      <c r="AR72" s="89">
        <f t="shared" si="53"/>
        <v>2.8</v>
      </c>
      <c r="AS72" s="89">
        <v>1</v>
      </c>
      <c r="AT72" s="89">
        <v>2</v>
      </c>
      <c r="AU72" s="89">
        <f t="shared" si="235"/>
        <v>1.5</v>
      </c>
      <c r="AV72" s="204">
        <f t="shared" si="236"/>
        <v>1</v>
      </c>
      <c r="AW72" s="204">
        <f t="shared" si="237"/>
        <v>2</v>
      </c>
      <c r="AX72" s="204">
        <f t="shared" si="197"/>
        <v>1.5</v>
      </c>
      <c r="AY72" s="51">
        <v>0</v>
      </c>
      <c r="AZ72" s="51">
        <v>0</v>
      </c>
      <c r="BA72" s="51">
        <v>0</v>
      </c>
      <c r="BB72" s="327"/>
      <c r="BC72" s="76">
        <f t="shared" si="238"/>
        <v>2.0999999999999996</v>
      </c>
      <c r="BD72" s="76">
        <f t="shared" si="239"/>
        <v>3.5</v>
      </c>
      <c r="BE72" s="76">
        <f t="shared" si="42"/>
        <v>2.8</v>
      </c>
      <c r="BF72" s="111">
        <f>AV72*(1+$BA72)</f>
        <v>1</v>
      </c>
      <c r="BG72" s="111">
        <f>AW72*(1+$BA72)</f>
        <v>2</v>
      </c>
      <c r="BH72" s="111">
        <f t="shared" si="7"/>
        <v>1.5</v>
      </c>
      <c r="BI72" s="4">
        <v>20</v>
      </c>
      <c r="BJ72" s="76">
        <v>5</v>
      </c>
      <c r="BK72" s="76">
        <f t="shared" si="204"/>
        <v>5</v>
      </c>
      <c r="BL72" s="111">
        <f t="shared" si="225"/>
        <v>1.884447414365003</v>
      </c>
      <c r="BM72" s="4">
        <f t="shared" si="210"/>
        <v>0</v>
      </c>
      <c r="BN72" s="4">
        <f t="shared" si="57"/>
        <v>0</v>
      </c>
      <c r="BO72" s="4">
        <f t="shared" si="201"/>
        <v>0</v>
      </c>
      <c r="BP72" s="4">
        <f t="shared" si="58"/>
        <v>0</v>
      </c>
      <c r="BQ72" s="324">
        <f t="shared" si="211"/>
        <v>0</v>
      </c>
      <c r="BR72" s="324">
        <f t="shared" si="212"/>
        <v>0</v>
      </c>
      <c r="BS72" s="324">
        <f t="shared" si="202"/>
        <v>0</v>
      </c>
      <c r="BT72" s="324">
        <f t="shared" si="203"/>
        <v>0</v>
      </c>
      <c r="BU72" s="76">
        <f t="shared" si="198"/>
        <v>21.493315513809979</v>
      </c>
      <c r="BV72" s="111" t="s">
        <v>77</v>
      </c>
      <c r="BW72" s="88" t="s">
        <v>77</v>
      </c>
      <c r="BX72" s="88" t="s">
        <v>77</v>
      </c>
      <c r="BY72" s="89" t="s">
        <v>77</v>
      </c>
      <c r="BZ72" s="88" t="s">
        <v>77</v>
      </c>
      <c r="CA72" s="88" t="s">
        <v>77</v>
      </c>
      <c r="CB72" s="89" t="s">
        <v>77</v>
      </c>
      <c r="CC72" s="88" t="s">
        <v>77</v>
      </c>
      <c r="CD72" s="88" t="s">
        <v>77</v>
      </c>
      <c r="CE72" s="89" t="s">
        <v>77</v>
      </c>
      <c r="CF72" s="88" t="s">
        <v>77</v>
      </c>
      <c r="CG72" s="88" t="s">
        <v>77</v>
      </c>
      <c r="CH72" s="89" t="s">
        <v>77</v>
      </c>
      <c r="CI72" s="41">
        <f t="shared" si="226"/>
        <v>0</v>
      </c>
      <c r="CJ72" s="41">
        <f t="shared" si="227"/>
        <v>0</v>
      </c>
      <c r="CK72" s="41">
        <f t="shared" si="228"/>
        <v>0</v>
      </c>
      <c r="CL72" s="41">
        <f t="shared" si="229"/>
        <v>0</v>
      </c>
      <c r="CM72" s="88" t="s">
        <v>77</v>
      </c>
      <c r="CN72" s="88" t="s">
        <v>77</v>
      </c>
      <c r="CO72" s="89" t="s">
        <v>77</v>
      </c>
      <c r="CP72" s="88" t="s">
        <v>77</v>
      </c>
      <c r="CQ72" s="88" t="s">
        <v>77</v>
      </c>
      <c r="CR72" s="89" t="s">
        <v>77</v>
      </c>
      <c r="CS72" s="88" t="s">
        <v>77</v>
      </c>
      <c r="CT72" s="88" t="s">
        <v>77</v>
      </c>
      <c r="CU72" s="89" t="s">
        <v>77</v>
      </c>
      <c r="CV72" s="88" t="s">
        <v>77</v>
      </c>
      <c r="CW72" s="88" t="s">
        <v>77</v>
      </c>
      <c r="CX72" s="89" t="s">
        <v>77</v>
      </c>
      <c r="CY72" s="286" t="s">
        <v>118</v>
      </c>
      <c r="CZ72" s="285" t="s">
        <v>57</v>
      </c>
      <c r="DA72" s="285" t="s">
        <v>57</v>
      </c>
      <c r="DB72" s="285" t="s">
        <v>77</v>
      </c>
      <c r="DC72" s="285" t="s">
        <v>57</v>
      </c>
      <c r="DD72" s="275"/>
      <c r="DE72" s="275"/>
      <c r="DF72" s="285" t="s">
        <v>57</v>
      </c>
      <c r="DG72" s="285" t="s">
        <v>57</v>
      </c>
      <c r="DH72" s="285" t="s">
        <v>57</v>
      </c>
      <c r="DI72" s="285" t="s">
        <v>57</v>
      </c>
      <c r="DJ72" s="271" t="s">
        <v>77</v>
      </c>
      <c r="DK72" s="271" t="s">
        <v>77</v>
      </c>
      <c r="DL72" s="272" t="s">
        <v>77</v>
      </c>
      <c r="DM72" s="82"/>
      <c r="DN72" s="82"/>
      <c r="DO72" s="82"/>
      <c r="DP72" s="82"/>
      <c r="DS72" s="271"/>
      <c r="DT72" s="105"/>
      <c r="DU72" s="29"/>
      <c r="DV72" s="29"/>
      <c r="DW72" s="29"/>
      <c r="DX72" s="29"/>
      <c r="DY72" s="29"/>
      <c r="DZ72" s="29"/>
      <c r="EA72" s="29"/>
      <c r="EB72" s="29"/>
    </row>
    <row r="73" spans="1:132" ht="198" customHeight="1" x14ac:dyDescent="0.2">
      <c r="A73" s="759"/>
      <c r="B73" s="282" t="s">
        <v>167</v>
      </c>
      <c r="C73" s="84"/>
      <c r="D73" s="235">
        <v>805</v>
      </c>
      <c r="E73" s="75" t="s">
        <v>410</v>
      </c>
      <c r="F73" s="276" t="s">
        <v>84</v>
      </c>
      <c r="G73" s="276" t="s">
        <v>77</v>
      </c>
      <c r="H73" s="276" t="s">
        <v>77</v>
      </c>
      <c r="I73" s="275" t="s">
        <v>531</v>
      </c>
      <c r="J73" s="275" t="s">
        <v>168</v>
      </c>
      <c r="K73" s="257"/>
      <c r="L73" s="272" t="s">
        <v>38</v>
      </c>
      <c r="M73" s="308">
        <v>1</v>
      </c>
      <c r="N73" s="11" t="s">
        <v>77</v>
      </c>
      <c r="O73" s="11" t="s">
        <v>77</v>
      </c>
      <c r="P73" s="303" t="s">
        <v>77</v>
      </c>
      <c r="Q73" s="3">
        <v>0</v>
      </c>
      <c r="R73" s="3">
        <v>0</v>
      </c>
      <c r="S73" s="4">
        <v>0</v>
      </c>
      <c r="T73" s="4">
        <v>0</v>
      </c>
      <c r="U73" s="4">
        <v>0</v>
      </c>
      <c r="V73" s="4">
        <v>0</v>
      </c>
      <c r="W73" s="51" t="s">
        <v>77</v>
      </c>
      <c r="X73" s="51" t="s">
        <v>77</v>
      </c>
      <c r="Y73" s="145">
        <f t="shared" si="205"/>
        <v>0</v>
      </c>
      <c r="Z73" s="145">
        <f t="shared" si="206"/>
        <v>0</v>
      </c>
      <c r="AA73" s="145">
        <f t="shared" si="207"/>
        <v>0</v>
      </c>
      <c r="AB73" s="145">
        <f t="shared" si="215"/>
        <v>0</v>
      </c>
      <c r="AC73" s="145">
        <f t="shared" si="216"/>
        <v>0</v>
      </c>
      <c r="AD73" s="145">
        <f t="shared" si="208"/>
        <v>0</v>
      </c>
      <c r="AE73" s="145">
        <f t="shared" si="209"/>
        <v>0</v>
      </c>
      <c r="AF73" s="145">
        <f t="shared" si="217"/>
        <v>0</v>
      </c>
      <c r="AG73" s="145">
        <f t="shared" si="218"/>
        <v>0</v>
      </c>
      <c r="AH73" s="89">
        <v>3</v>
      </c>
      <c r="AI73" s="89">
        <v>5</v>
      </c>
      <c r="AJ73" s="89">
        <f t="shared" si="230"/>
        <v>4</v>
      </c>
      <c r="AK73" s="89">
        <f t="shared" si="231"/>
        <v>3</v>
      </c>
      <c r="AL73" s="89">
        <f t="shared" si="232"/>
        <v>5</v>
      </c>
      <c r="AM73" s="89">
        <f t="shared" si="196"/>
        <v>4</v>
      </c>
      <c r="AN73" s="104">
        <v>0.8</v>
      </c>
      <c r="AO73" s="6">
        <f>$AA$121/43560</f>
        <v>5.7392102846648303</v>
      </c>
      <c r="AP73" s="89">
        <f>(AK73*(1+$AN$2))+AO73</f>
        <v>9.9392102846648296</v>
      </c>
      <c r="AQ73" s="89">
        <f>(AL73*(1+$AN$2))+AO73</f>
        <v>12.73921028466483</v>
      </c>
      <c r="AR73" s="89">
        <f t="shared" si="53"/>
        <v>11.33921028466483</v>
      </c>
      <c r="AS73" s="204">
        <v>5</v>
      </c>
      <c r="AT73" s="204">
        <v>10</v>
      </c>
      <c r="AU73" s="89">
        <f t="shared" si="235"/>
        <v>7.5</v>
      </c>
      <c r="AV73" s="204">
        <f t="shared" si="236"/>
        <v>5</v>
      </c>
      <c r="AW73" s="204">
        <f t="shared" si="237"/>
        <v>10</v>
      </c>
      <c r="AX73" s="204">
        <f t="shared" si="197"/>
        <v>7.5</v>
      </c>
      <c r="AY73" s="51">
        <v>0</v>
      </c>
      <c r="AZ73" s="51">
        <v>0.2</v>
      </c>
      <c r="BA73" s="51">
        <v>0</v>
      </c>
      <c r="BB73" s="327" t="s">
        <v>300</v>
      </c>
      <c r="BC73" s="76">
        <f t="shared" ref="BC73:BC99" si="242">AP73*(1+$AZ73)</f>
        <v>11.927052341597795</v>
      </c>
      <c r="BD73" s="76">
        <f t="shared" ref="BD73:BD99" si="243">AQ73*(1+$AZ73)</f>
        <v>15.287052341597796</v>
      </c>
      <c r="BE73" s="76">
        <f t="shared" si="42"/>
        <v>13.607052341597795</v>
      </c>
      <c r="BF73" s="111">
        <f t="shared" si="240"/>
        <v>5</v>
      </c>
      <c r="BG73" s="111">
        <f t="shared" si="241"/>
        <v>10</v>
      </c>
      <c r="BH73" s="111">
        <f t="shared" si="7"/>
        <v>7.5</v>
      </c>
      <c r="BI73" s="4">
        <v>25</v>
      </c>
      <c r="BJ73" s="76">
        <f>BE73/2</f>
        <v>6.8035261707988974</v>
      </c>
      <c r="BK73" s="76">
        <f t="shared" si="204"/>
        <v>5.4428209366391185</v>
      </c>
      <c r="BL73" s="111">
        <f t="shared" si="225"/>
        <v>2.0091001355551765</v>
      </c>
      <c r="BM73" s="4">
        <f t="shared" si="210"/>
        <v>0</v>
      </c>
      <c r="BN73" s="4">
        <f t="shared" si="57"/>
        <v>0</v>
      </c>
      <c r="BO73" s="4">
        <f t="shared" si="201"/>
        <v>0</v>
      </c>
      <c r="BP73" s="4">
        <f t="shared" si="58"/>
        <v>0</v>
      </c>
      <c r="BQ73" s="324">
        <f t="shared" si="211"/>
        <v>0</v>
      </c>
      <c r="BR73" s="324">
        <f t="shared" si="212"/>
        <v>0</v>
      </c>
      <c r="BS73" s="324">
        <f t="shared" si="202"/>
        <v>0</v>
      </c>
      <c r="BT73" s="324">
        <f t="shared" si="203"/>
        <v>0</v>
      </c>
      <c r="BU73" s="76">
        <f t="shared" si="198"/>
        <v>107.07362991064768</v>
      </c>
      <c r="BV73" s="111" t="s">
        <v>77</v>
      </c>
      <c r="BW73" s="88" t="s">
        <v>77</v>
      </c>
      <c r="BX73" s="88" t="s">
        <v>77</v>
      </c>
      <c r="BY73" s="89" t="s">
        <v>77</v>
      </c>
      <c r="BZ73" s="88" t="s">
        <v>77</v>
      </c>
      <c r="CA73" s="88" t="s">
        <v>77</v>
      </c>
      <c r="CB73" s="89" t="s">
        <v>77</v>
      </c>
      <c r="CC73" s="88" t="s">
        <v>77</v>
      </c>
      <c r="CD73" s="88" t="s">
        <v>77</v>
      </c>
      <c r="CE73" s="89" t="s">
        <v>77</v>
      </c>
      <c r="CF73" s="88" t="s">
        <v>77</v>
      </c>
      <c r="CG73" s="88" t="s">
        <v>77</v>
      </c>
      <c r="CH73" s="89" t="s">
        <v>77</v>
      </c>
      <c r="CI73" s="41">
        <f t="shared" si="226"/>
        <v>0</v>
      </c>
      <c r="CJ73" s="41">
        <f t="shared" si="227"/>
        <v>0</v>
      </c>
      <c r="CK73" s="41">
        <f t="shared" si="228"/>
        <v>0</v>
      </c>
      <c r="CL73" s="41">
        <f t="shared" si="229"/>
        <v>0</v>
      </c>
      <c r="CM73" s="88" t="s">
        <v>77</v>
      </c>
      <c r="CN73" s="88" t="s">
        <v>77</v>
      </c>
      <c r="CO73" s="89" t="s">
        <v>77</v>
      </c>
      <c r="CP73" s="88" t="s">
        <v>77</v>
      </c>
      <c r="CQ73" s="88" t="s">
        <v>77</v>
      </c>
      <c r="CR73" s="89" t="s">
        <v>77</v>
      </c>
      <c r="CS73" s="88" t="s">
        <v>77</v>
      </c>
      <c r="CT73" s="88" t="s">
        <v>77</v>
      </c>
      <c r="CU73" s="89" t="s">
        <v>77</v>
      </c>
      <c r="CV73" s="88" t="s">
        <v>77</v>
      </c>
      <c r="CW73" s="88" t="s">
        <v>77</v>
      </c>
      <c r="CX73" s="89" t="s">
        <v>77</v>
      </c>
      <c r="CY73" s="286" t="s">
        <v>310</v>
      </c>
      <c r="CZ73" s="285" t="s">
        <v>56</v>
      </c>
      <c r="DA73" s="285" t="s">
        <v>57</v>
      </c>
      <c r="DB73" s="285" t="s">
        <v>77</v>
      </c>
      <c r="DC73" s="285" t="s">
        <v>57</v>
      </c>
      <c r="DD73" s="275" t="s">
        <v>169</v>
      </c>
      <c r="DE73" s="275" t="s">
        <v>260</v>
      </c>
      <c r="DF73" s="285" t="s">
        <v>57</v>
      </c>
      <c r="DG73" s="285" t="s">
        <v>57</v>
      </c>
      <c r="DH73" s="285" t="s">
        <v>57</v>
      </c>
      <c r="DI73" s="285" t="s">
        <v>57</v>
      </c>
      <c r="DJ73" s="271" t="s">
        <v>362</v>
      </c>
      <c r="DK73" s="272" t="s">
        <v>358</v>
      </c>
      <c r="DL73" s="272" t="s">
        <v>77</v>
      </c>
      <c r="DM73" s="271" t="s">
        <v>362</v>
      </c>
      <c r="DN73" s="272" t="s">
        <v>358</v>
      </c>
      <c r="DO73" s="520"/>
      <c r="DP73" s="520"/>
      <c r="DS73" s="271" t="s">
        <v>155</v>
      </c>
      <c r="DT73" s="106"/>
      <c r="DU73" s="28"/>
      <c r="DV73" s="28"/>
      <c r="DW73" s="28"/>
      <c r="DX73" s="28"/>
      <c r="DY73" s="28"/>
      <c r="DZ73" s="28"/>
      <c r="EA73" s="28"/>
      <c r="EB73" s="28"/>
    </row>
    <row r="74" spans="1:132" ht="164.25" customHeight="1" x14ac:dyDescent="0.2">
      <c r="A74" s="759"/>
      <c r="B74" s="282" t="s">
        <v>170</v>
      </c>
      <c r="C74" s="84"/>
      <c r="D74" s="235">
        <v>806</v>
      </c>
      <c r="E74" s="75" t="s">
        <v>411</v>
      </c>
      <c r="F74" s="276" t="s">
        <v>171</v>
      </c>
      <c r="G74" s="276" t="s">
        <v>77</v>
      </c>
      <c r="H74" s="276" t="s">
        <v>77</v>
      </c>
      <c r="I74" s="275" t="s">
        <v>531</v>
      </c>
      <c r="J74" s="275" t="s">
        <v>168</v>
      </c>
      <c r="K74" s="257"/>
      <c r="L74" s="272" t="s">
        <v>38</v>
      </c>
      <c r="M74" s="308">
        <v>1</v>
      </c>
      <c r="N74" s="11" t="s">
        <v>77</v>
      </c>
      <c r="O74" s="11" t="s">
        <v>77</v>
      </c>
      <c r="P74" s="303" t="s">
        <v>77</v>
      </c>
      <c r="Q74" s="3">
        <v>0</v>
      </c>
      <c r="R74" s="3">
        <v>0</v>
      </c>
      <c r="S74" s="4">
        <v>0</v>
      </c>
      <c r="T74" s="4">
        <v>0</v>
      </c>
      <c r="U74" s="4">
        <v>0</v>
      </c>
      <c r="V74" s="4">
        <v>0</v>
      </c>
      <c r="W74" s="51" t="s">
        <v>77</v>
      </c>
      <c r="X74" s="51" t="s">
        <v>77</v>
      </c>
      <c r="Y74" s="145">
        <f t="shared" si="205"/>
        <v>0</v>
      </c>
      <c r="Z74" s="145">
        <f t="shared" si="206"/>
        <v>0</v>
      </c>
      <c r="AA74" s="145">
        <f t="shared" si="207"/>
        <v>0</v>
      </c>
      <c r="AB74" s="145">
        <f t="shared" si="215"/>
        <v>0</v>
      </c>
      <c r="AC74" s="145">
        <f t="shared" si="216"/>
        <v>0</v>
      </c>
      <c r="AD74" s="145">
        <f t="shared" si="208"/>
        <v>0</v>
      </c>
      <c r="AE74" s="145">
        <f t="shared" si="209"/>
        <v>0</v>
      </c>
      <c r="AF74" s="145">
        <f t="shared" si="217"/>
        <v>0</v>
      </c>
      <c r="AG74" s="145">
        <f t="shared" si="218"/>
        <v>0</v>
      </c>
      <c r="AH74" s="89">
        <v>4</v>
      </c>
      <c r="AI74" s="89">
        <v>6</v>
      </c>
      <c r="AJ74" s="89">
        <f t="shared" si="230"/>
        <v>5</v>
      </c>
      <c r="AK74" s="89">
        <f t="shared" si="231"/>
        <v>4</v>
      </c>
      <c r="AL74" s="89">
        <f t="shared" si="232"/>
        <v>6</v>
      </c>
      <c r="AM74" s="89">
        <f t="shared" si="196"/>
        <v>5</v>
      </c>
      <c r="AN74" s="104">
        <v>0.33</v>
      </c>
      <c r="AO74" s="6">
        <f>$AA$121/43560</f>
        <v>5.7392102846648303</v>
      </c>
      <c r="AP74" s="89">
        <f>(AK74*(1+$AN$2))+AO74</f>
        <v>11.33921028466483</v>
      </c>
      <c r="AQ74" s="89">
        <f>(AL74*(1+$AN$2))+AO74</f>
        <v>14.139210284664829</v>
      </c>
      <c r="AR74" s="89">
        <f t="shared" si="53"/>
        <v>12.739210284664829</v>
      </c>
      <c r="AS74" s="204">
        <v>2</v>
      </c>
      <c r="AT74" s="204">
        <v>4</v>
      </c>
      <c r="AU74" s="89">
        <f t="shared" si="235"/>
        <v>3</v>
      </c>
      <c r="AV74" s="89">
        <f t="shared" si="236"/>
        <v>2</v>
      </c>
      <c r="AW74" s="89">
        <f t="shared" si="237"/>
        <v>4</v>
      </c>
      <c r="AX74" s="89">
        <f t="shared" si="197"/>
        <v>3</v>
      </c>
      <c r="AY74" s="329">
        <v>0.5</v>
      </c>
      <c r="AZ74" s="51">
        <v>-0.2</v>
      </c>
      <c r="BA74" s="51">
        <v>0</v>
      </c>
      <c r="BB74" s="327" t="s">
        <v>299</v>
      </c>
      <c r="BC74" s="76">
        <f t="shared" si="242"/>
        <v>9.071368227731865</v>
      </c>
      <c r="BD74" s="76">
        <f t="shared" si="243"/>
        <v>11.311368227731863</v>
      </c>
      <c r="BE74" s="76">
        <f t="shared" si="42"/>
        <v>10.191368227731864</v>
      </c>
      <c r="BF74" s="76">
        <f t="shared" si="240"/>
        <v>2</v>
      </c>
      <c r="BG74" s="76">
        <f t="shared" si="241"/>
        <v>4</v>
      </c>
      <c r="BH74" s="76">
        <f t="shared" si="7"/>
        <v>3</v>
      </c>
      <c r="BI74" s="4">
        <v>25</v>
      </c>
      <c r="BJ74" s="76">
        <f>BE74</f>
        <v>10.191368227731864</v>
      </c>
      <c r="BK74" s="76">
        <f t="shared" si="204"/>
        <v>8.1530945821854921</v>
      </c>
      <c r="BL74" s="111">
        <f t="shared" si="225"/>
        <v>3.0095392850417291</v>
      </c>
      <c r="BM74" s="4">
        <f t="shared" si="210"/>
        <v>0</v>
      </c>
      <c r="BN74" s="4">
        <f t="shared" si="57"/>
        <v>0</v>
      </c>
      <c r="BO74" s="4">
        <f t="shared" si="201"/>
        <v>0</v>
      </c>
      <c r="BP74" s="4">
        <f t="shared" si="58"/>
        <v>0</v>
      </c>
      <c r="BQ74" s="324">
        <f t="shared" si="211"/>
        <v>0</v>
      </c>
      <c r="BR74" s="324">
        <f t="shared" si="212"/>
        <v>0</v>
      </c>
      <c r="BS74" s="324">
        <f t="shared" si="202"/>
        <v>0</v>
      </c>
      <c r="BT74" s="324">
        <f t="shared" si="203"/>
        <v>0</v>
      </c>
      <c r="BU74" s="76">
        <f t="shared" si="198"/>
        <v>47.57799925535182</v>
      </c>
      <c r="BV74" s="111" t="s">
        <v>77</v>
      </c>
      <c r="BW74" s="88" t="s">
        <v>77</v>
      </c>
      <c r="BX74" s="88" t="s">
        <v>77</v>
      </c>
      <c r="BY74" s="89" t="s">
        <v>77</v>
      </c>
      <c r="BZ74" s="88" t="s">
        <v>77</v>
      </c>
      <c r="CA74" s="88" t="s">
        <v>77</v>
      </c>
      <c r="CB74" s="89" t="s">
        <v>77</v>
      </c>
      <c r="CC74" s="88" t="s">
        <v>77</v>
      </c>
      <c r="CD74" s="88" t="s">
        <v>77</v>
      </c>
      <c r="CE74" s="89" t="s">
        <v>77</v>
      </c>
      <c r="CF74" s="88" t="s">
        <v>77</v>
      </c>
      <c r="CG74" s="88" t="s">
        <v>77</v>
      </c>
      <c r="CH74" s="89" t="s">
        <v>77</v>
      </c>
      <c r="CI74" s="41">
        <f t="shared" si="226"/>
        <v>0</v>
      </c>
      <c r="CJ74" s="41">
        <f t="shared" si="227"/>
        <v>0</v>
      </c>
      <c r="CK74" s="41">
        <f t="shared" si="228"/>
        <v>0</v>
      </c>
      <c r="CL74" s="41">
        <f t="shared" si="229"/>
        <v>0</v>
      </c>
      <c r="CM74" s="88" t="s">
        <v>77</v>
      </c>
      <c r="CN74" s="88" t="s">
        <v>77</v>
      </c>
      <c r="CO74" s="89" t="s">
        <v>77</v>
      </c>
      <c r="CP74" s="88" t="s">
        <v>77</v>
      </c>
      <c r="CQ74" s="88" t="s">
        <v>77</v>
      </c>
      <c r="CR74" s="89" t="s">
        <v>77</v>
      </c>
      <c r="CS74" s="88" t="s">
        <v>77</v>
      </c>
      <c r="CT74" s="88" t="s">
        <v>77</v>
      </c>
      <c r="CU74" s="89" t="s">
        <v>77</v>
      </c>
      <c r="CV74" s="88" t="s">
        <v>77</v>
      </c>
      <c r="CW74" s="88" t="s">
        <v>77</v>
      </c>
      <c r="CX74" s="89" t="s">
        <v>77</v>
      </c>
      <c r="CY74" s="286" t="s">
        <v>310</v>
      </c>
      <c r="CZ74" s="285" t="s">
        <v>56</v>
      </c>
      <c r="DA74" s="285" t="s">
        <v>57</v>
      </c>
      <c r="DB74" s="285" t="s">
        <v>77</v>
      </c>
      <c r="DC74" s="285" t="s">
        <v>57</v>
      </c>
      <c r="DD74" s="275" t="s">
        <v>172</v>
      </c>
      <c r="DE74" s="275" t="s">
        <v>173</v>
      </c>
      <c r="DF74" s="285" t="s">
        <v>57</v>
      </c>
      <c r="DG74" s="285" t="s">
        <v>57</v>
      </c>
      <c r="DH74" s="285" t="s">
        <v>57</v>
      </c>
      <c r="DI74" s="285" t="s">
        <v>57</v>
      </c>
      <c r="DJ74" s="271" t="s">
        <v>362</v>
      </c>
      <c r="DK74" s="272" t="s">
        <v>358</v>
      </c>
      <c r="DL74" s="272" t="s">
        <v>77</v>
      </c>
      <c r="DM74" s="271" t="s">
        <v>362</v>
      </c>
      <c r="DN74" s="272" t="s">
        <v>358</v>
      </c>
      <c r="DO74" s="520"/>
      <c r="DP74" s="520"/>
      <c r="DS74" s="271" t="s">
        <v>155</v>
      </c>
      <c r="DT74" s="106"/>
      <c r="DU74" s="28"/>
      <c r="DV74" s="28"/>
      <c r="DW74" s="28"/>
      <c r="DX74" s="28"/>
      <c r="DY74" s="28"/>
      <c r="DZ74" s="28"/>
      <c r="EA74" s="28"/>
      <c r="EB74" s="28"/>
    </row>
    <row r="75" spans="1:132" ht="173.25" customHeight="1" x14ac:dyDescent="0.2">
      <c r="A75" s="759"/>
      <c r="B75" s="282" t="s">
        <v>326</v>
      </c>
      <c r="C75" s="84"/>
      <c r="D75" s="235"/>
      <c r="E75" s="64" t="s">
        <v>327</v>
      </c>
      <c r="F75" s="276" t="s">
        <v>84</v>
      </c>
      <c r="G75" s="276" t="s">
        <v>77</v>
      </c>
      <c r="H75" s="276" t="s">
        <v>77</v>
      </c>
      <c r="I75" s="275" t="s">
        <v>527</v>
      </c>
      <c r="J75" s="275"/>
      <c r="K75" s="256"/>
      <c r="L75" s="272"/>
      <c r="M75" s="308"/>
      <c r="N75" s="11"/>
      <c r="O75" s="11" t="s">
        <v>77</v>
      </c>
      <c r="P75" s="303"/>
      <c r="Q75" s="101"/>
      <c r="R75" s="101"/>
      <c r="S75" s="4"/>
      <c r="T75" s="4"/>
      <c r="U75" s="4"/>
      <c r="V75" s="4"/>
      <c r="W75" s="51"/>
      <c r="X75" s="51"/>
      <c r="Y75" s="145">
        <f t="shared" si="205"/>
        <v>0</v>
      </c>
      <c r="Z75" s="145">
        <f t="shared" si="206"/>
        <v>0</v>
      </c>
      <c r="AA75" s="145">
        <f t="shared" si="207"/>
        <v>0</v>
      </c>
      <c r="AB75" s="145">
        <f t="shared" si="215"/>
        <v>0</v>
      </c>
      <c r="AC75" s="145">
        <f t="shared" si="216"/>
        <v>0</v>
      </c>
      <c r="AD75" s="145">
        <f t="shared" si="208"/>
        <v>0</v>
      </c>
      <c r="AE75" s="145">
        <f t="shared" si="209"/>
        <v>0</v>
      </c>
      <c r="AF75" s="145">
        <f t="shared" si="217"/>
        <v>0</v>
      </c>
      <c r="AG75" s="145">
        <f t="shared" si="218"/>
        <v>0</v>
      </c>
      <c r="AH75" s="76"/>
      <c r="AI75" s="76"/>
      <c r="AJ75" s="76">
        <f t="shared" si="230"/>
        <v>0</v>
      </c>
      <c r="AK75" s="76">
        <f t="shared" si="231"/>
        <v>0</v>
      </c>
      <c r="AL75" s="76">
        <f t="shared" si="232"/>
        <v>0</v>
      </c>
      <c r="AM75" s="76">
        <f t="shared" si="196"/>
        <v>0</v>
      </c>
      <c r="AN75" s="104"/>
      <c r="AO75" s="104"/>
      <c r="AP75" s="76"/>
      <c r="AQ75" s="76"/>
      <c r="AR75" s="76">
        <f t="shared" si="53"/>
        <v>0</v>
      </c>
      <c r="AS75" s="111"/>
      <c r="AT75" s="111"/>
      <c r="AU75" s="76">
        <f t="shared" si="235"/>
        <v>0</v>
      </c>
      <c r="AV75" s="76">
        <f t="shared" si="236"/>
        <v>0</v>
      </c>
      <c r="AW75" s="76">
        <f t="shared" si="237"/>
        <v>0</v>
      </c>
      <c r="AX75" s="76">
        <f t="shared" si="197"/>
        <v>0</v>
      </c>
      <c r="AY75" s="329"/>
      <c r="AZ75" s="51"/>
      <c r="BA75" s="51"/>
      <c r="BB75" s="327"/>
      <c r="BC75" s="76"/>
      <c r="BD75" s="76"/>
      <c r="BE75" s="76">
        <f t="shared" si="42"/>
        <v>0</v>
      </c>
      <c r="BF75" s="76"/>
      <c r="BG75" s="76"/>
      <c r="BH75" s="76">
        <f t="shared" si="7"/>
        <v>0</v>
      </c>
      <c r="BI75" s="4">
        <v>0</v>
      </c>
      <c r="BJ75" s="76">
        <v>0</v>
      </c>
      <c r="BK75" s="76" t="e">
        <f t="shared" si="204"/>
        <v>#DIV/0!</v>
      </c>
      <c r="BL75" s="111" t="e">
        <f t="shared" si="225"/>
        <v>#DIV/0!</v>
      </c>
      <c r="BM75" s="4">
        <f t="shared" si="210"/>
        <v>0</v>
      </c>
      <c r="BN75" s="4">
        <f t="shared" si="57"/>
        <v>0</v>
      </c>
      <c r="BO75" s="4">
        <f t="shared" si="201"/>
        <v>0</v>
      </c>
      <c r="BP75" s="4">
        <f t="shared" si="58"/>
        <v>0</v>
      </c>
      <c r="BQ75" s="4">
        <f>IF((($Y75+$Z75)&gt;0),((($Y75+$Z75)/2)*$CB$2),0)</f>
        <v>0</v>
      </c>
      <c r="BR75" s="4">
        <f>BQ75*0.4536</f>
        <v>0</v>
      </c>
      <c r="BS75" s="4">
        <f>IF((($AD75+$AE75)&gt;0),((($AD75+$AE75)/2)*$CB$2),0)</f>
        <v>0</v>
      </c>
      <c r="BT75" s="4">
        <f>BS75*0.4536</f>
        <v>0</v>
      </c>
      <c r="BU75" s="76"/>
      <c r="BV75" s="111" t="s">
        <v>77</v>
      </c>
      <c r="BW75" s="88" t="s">
        <v>77</v>
      </c>
      <c r="BX75" s="88" t="s">
        <v>77</v>
      </c>
      <c r="BY75" s="89" t="s">
        <v>77</v>
      </c>
      <c r="BZ75" s="88" t="s">
        <v>77</v>
      </c>
      <c r="CA75" s="88" t="s">
        <v>77</v>
      </c>
      <c r="CB75" s="89" t="s">
        <v>77</v>
      </c>
      <c r="CC75" s="88" t="s">
        <v>77</v>
      </c>
      <c r="CD75" s="88" t="s">
        <v>77</v>
      </c>
      <c r="CE75" s="89" t="s">
        <v>77</v>
      </c>
      <c r="CF75" s="88" t="s">
        <v>77</v>
      </c>
      <c r="CG75" s="88" t="s">
        <v>77</v>
      </c>
      <c r="CH75" s="89" t="s">
        <v>77</v>
      </c>
      <c r="CI75" s="41"/>
      <c r="CJ75" s="41"/>
      <c r="CK75" s="41"/>
      <c r="CL75" s="41"/>
      <c r="CM75" s="88" t="s">
        <v>77</v>
      </c>
      <c r="CN75" s="88" t="s">
        <v>77</v>
      </c>
      <c r="CO75" s="89" t="s">
        <v>77</v>
      </c>
      <c r="CP75" s="88" t="s">
        <v>77</v>
      </c>
      <c r="CQ75" s="88" t="s">
        <v>77</v>
      </c>
      <c r="CR75" s="89" t="s">
        <v>77</v>
      </c>
      <c r="CS75" s="88" t="s">
        <v>77</v>
      </c>
      <c r="CT75" s="88" t="s">
        <v>77</v>
      </c>
      <c r="CU75" s="89" t="s">
        <v>77</v>
      </c>
      <c r="CV75" s="88" t="s">
        <v>77</v>
      </c>
      <c r="CW75" s="88" t="s">
        <v>77</v>
      </c>
      <c r="CX75" s="89" t="s">
        <v>77</v>
      </c>
      <c r="CY75" s="286"/>
      <c r="CZ75" s="285"/>
      <c r="DA75" s="285" t="s">
        <v>57</v>
      </c>
      <c r="DB75" s="285"/>
      <c r="DC75" s="285"/>
      <c r="DD75" s="275"/>
      <c r="DE75" s="275"/>
      <c r="DF75" s="285"/>
      <c r="DG75" s="285"/>
      <c r="DH75" s="285"/>
      <c r="DI75" s="285"/>
      <c r="DJ75" s="271" t="s">
        <v>362</v>
      </c>
      <c r="DK75" s="272" t="s">
        <v>77</v>
      </c>
      <c r="DL75" s="272" t="s">
        <v>77</v>
      </c>
      <c r="DM75" s="271" t="s">
        <v>362</v>
      </c>
      <c r="DN75" s="272" t="s">
        <v>77</v>
      </c>
      <c r="DO75" s="520"/>
      <c r="DP75" s="520"/>
      <c r="DS75" s="271"/>
      <c r="DT75" s="106"/>
      <c r="DU75" s="28"/>
      <c r="DV75" s="28"/>
      <c r="DW75" s="28"/>
      <c r="DX75" s="28"/>
      <c r="DY75" s="28"/>
      <c r="DZ75" s="28"/>
      <c r="EA75" s="28"/>
      <c r="EB75" s="28"/>
    </row>
    <row r="76" spans="1:132" ht="321" customHeight="1" x14ac:dyDescent="0.2">
      <c r="A76" s="759"/>
      <c r="B76" s="282" t="s">
        <v>328</v>
      </c>
      <c r="C76" s="84"/>
      <c r="D76" s="235"/>
      <c r="E76" s="75" t="s">
        <v>323</v>
      </c>
      <c r="F76" s="276" t="s">
        <v>84</v>
      </c>
      <c r="G76" s="276" t="s">
        <v>77</v>
      </c>
      <c r="H76" s="276" t="s">
        <v>77</v>
      </c>
      <c r="I76" s="275" t="s">
        <v>527</v>
      </c>
      <c r="J76" s="275"/>
      <c r="K76" s="257"/>
      <c r="L76" s="272"/>
      <c r="M76" s="308"/>
      <c r="N76" s="11"/>
      <c r="O76" s="11" t="s">
        <v>77</v>
      </c>
      <c r="P76" s="303"/>
      <c r="Q76" s="101"/>
      <c r="R76" s="101"/>
      <c r="S76" s="4"/>
      <c r="T76" s="4"/>
      <c r="U76" s="4"/>
      <c r="V76" s="4"/>
      <c r="W76" s="51"/>
      <c r="X76" s="51"/>
      <c r="Y76" s="145">
        <f t="shared" si="205"/>
        <v>0</v>
      </c>
      <c r="Z76" s="145">
        <f t="shared" si="206"/>
        <v>0</v>
      </c>
      <c r="AA76" s="145">
        <f t="shared" si="207"/>
        <v>0</v>
      </c>
      <c r="AB76" s="145">
        <f t="shared" si="215"/>
        <v>0</v>
      </c>
      <c r="AC76" s="145">
        <f t="shared" si="216"/>
        <v>0</v>
      </c>
      <c r="AD76" s="145">
        <f t="shared" si="208"/>
        <v>0</v>
      </c>
      <c r="AE76" s="145">
        <f t="shared" si="209"/>
        <v>0</v>
      </c>
      <c r="AF76" s="145">
        <f t="shared" si="217"/>
        <v>0</v>
      </c>
      <c r="AG76" s="145">
        <f t="shared" si="218"/>
        <v>0</v>
      </c>
      <c r="AH76" s="76"/>
      <c r="AI76" s="76"/>
      <c r="AJ76" s="76">
        <f t="shared" si="230"/>
        <v>0</v>
      </c>
      <c r="AK76" s="76">
        <f t="shared" si="231"/>
        <v>0</v>
      </c>
      <c r="AL76" s="76">
        <f t="shared" si="232"/>
        <v>0</v>
      </c>
      <c r="AM76" s="76">
        <f t="shared" si="196"/>
        <v>0</v>
      </c>
      <c r="AN76" s="104"/>
      <c r="AO76" s="104"/>
      <c r="AP76" s="76"/>
      <c r="AQ76" s="76"/>
      <c r="AR76" s="76">
        <f t="shared" si="53"/>
        <v>0</v>
      </c>
      <c r="AS76" s="111"/>
      <c r="AT76" s="111"/>
      <c r="AU76" s="76">
        <f t="shared" si="235"/>
        <v>0</v>
      </c>
      <c r="AV76" s="76">
        <f t="shared" si="236"/>
        <v>0</v>
      </c>
      <c r="AW76" s="76">
        <f t="shared" si="237"/>
        <v>0</v>
      </c>
      <c r="AX76" s="76">
        <f t="shared" si="197"/>
        <v>0</v>
      </c>
      <c r="AY76" s="329"/>
      <c r="AZ76" s="51"/>
      <c r="BA76" s="51"/>
      <c r="BB76" s="327"/>
      <c r="BC76" s="76"/>
      <c r="BD76" s="76"/>
      <c r="BE76" s="76">
        <f t="shared" si="42"/>
        <v>0</v>
      </c>
      <c r="BF76" s="76"/>
      <c r="BG76" s="76"/>
      <c r="BH76" s="76">
        <f t="shared" si="7"/>
        <v>0</v>
      </c>
      <c r="BI76" s="4">
        <v>0</v>
      </c>
      <c r="BJ76" s="76">
        <v>0</v>
      </c>
      <c r="BK76" s="76" t="e">
        <f t="shared" si="204"/>
        <v>#DIV/0!</v>
      </c>
      <c r="BL76" s="111" t="e">
        <f t="shared" si="225"/>
        <v>#DIV/0!</v>
      </c>
      <c r="BM76" s="4">
        <f t="shared" si="210"/>
        <v>0</v>
      </c>
      <c r="BN76" s="4">
        <f t="shared" si="57"/>
        <v>0</v>
      </c>
      <c r="BO76" s="4">
        <f t="shared" si="201"/>
        <v>0</v>
      </c>
      <c r="BP76" s="4">
        <f t="shared" si="58"/>
        <v>0</v>
      </c>
      <c r="BQ76" s="4">
        <f>IF((($Y76+$Z76)&gt;0),((($Y76+$Z76)/2)*$CB$2),0)</f>
        <v>0</v>
      </c>
      <c r="BR76" s="4">
        <f>BQ76*0.4536</f>
        <v>0</v>
      </c>
      <c r="BS76" s="4">
        <f>IF((($AD76+$AE76)&gt;0),((($AD76+$AE76)/2)*$CB$2),0)</f>
        <v>0</v>
      </c>
      <c r="BT76" s="4">
        <f>BS76*0.4536</f>
        <v>0</v>
      </c>
      <c r="BU76" s="76"/>
      <c r="BV76" s="111" t="s">
        <v>77</v>
      </c>
      <c r="BW76" s="88" t="s">
        <v>77</v>
      </c>
      <c r="BX76" s="88" t="s">
        <v>77</v>
      </c>
      <c r="BY76" s="89" t="s">
        <v>77</v>
      </c>
      <c r="BZ76" s="88" t="s">
        <v>77</v>
      </c>
      <c r="CA76" s="88" t="s">
        <v>77</v>
      </c>
      <c r="CB76" s="89" t="s">
        <v>77</v>
      </c>
      <c r="CC76" s="88" t="s">
        <v>77</v>
      </c>
      <c r="CD76" s="88" t="s">
        <v>77</v>
      </c>
      <c r="CE76" s="89" t="s">
        <v>77</v>
      </c>
      <c r="CF76" s="88" t="s">
        <v>77</v>
      </c>
      <c r="CG76" s="88" t="s">
        <v>77</v>
      </c>
      <c r="CH76" s="89" t="s">
        <v>77</v>
      </c>
      <c r="CI76" s="41"/>
      <c r="CJ76" s="41"/>
      <c r="CK76" s="41"/>
      <c r="CL76" s="41"/>
      <c r="CM76" s="88" t="s">
        <v>77</v>
      </c>
      <c r="CN76" s="88" t="s">
        <v>77</v>
      </c>
      <c r="CO76" s="89" t="s">
        <v>77</v>
      </c>
      <c r="CP76" s="88" t="s">
        <v>77</v>
      </c>
      <c r="CQ76" s="88" t="s">
        <v>77</v>
      </c>
      <c r="CR76" s="89" t="s">
        <v>77</v>
      </c>
      <c r="CS76" s="88" t="s">
        <v>77</v>
      </c>
      <c r="CT76" s="88" t="s">
        <v>77</v>
      </c>
      <c r="CU76" s="89" t="s">
        <v>77</v>
      </c>
      <c r="CV76" s="88" t="s">
        <v>77</v>
      </c>
      <c r="CW76" s="88" t="s">
        <v>77</v>
      </c>
      <c r="CX76" s="89" t="s">
        <v>77</v>
      </c>
      <c r="CY76" s="286"/>
      <c r="CZ76" s="285"/>
      <c r="DA76" s="285" t="s">
        <v>57</v>
      </c>
      <c r="DB76" s="285"/>
      <c r="DC76" s="285"/>
      <c r="DD76" s="275"/>
      <c r="DE76" s="275"/>
      <c r="DF76" s="285"/>
      <c r="DG76" s="285"/>
      <c r="DH76" s="285"/>
      <c r="DI76" s="285"/>
      <c r="DJ76" s="271" t="s">
        <v>362</v>
      </c>
      <c r="DK76" s="272" t="s">
        <v>77</v>
      </c>
      <c r="DL76" s="272" t="s">
        <v>77</v>
      </c>
      <c r="DM76" s="271" t="s">
        <v>362</v>
      </c>
      <c r="DN76" s="272" t="s">
        <v>77</v>
      </c>
      <c r="DO76" s="520"/>
      <c r="DP76" s="520"/>
      <c r="DS76" s="271"/>
      <c r="DT76" s="106"/>
      <c r="DU76" s="28"/>
      <c r="DV76" s="28"/>
      <c r="DW76" s="28"/>
      <c r="DX76" s="28"/>
      <c r="DY76" s="28"/>
      <c r="DZ76" s="28"/>
      <c r="EA76" s="28"/>
      <c r="EB76" s="28"/>
    </row>
    <row r="77" spans="1:132" ht="185.25" customHeight="1" x14ac:dyDescent="0.2">
      <c r="A77" s="759"/>
      <c r="B77" s="282" t="s">
        <v>174</v>
      </c>
      <c r="C77" s="84"/>
      <c r="D77" s="235">
        <v>807</v>
      </c>
      <c r="E77" s="275" t="s">
        <v>412</v>
      </c>
      <c r="F77" s="276" t="s">
        <v>175</v>
      </c>
      <c r="G77" s="276" t="s">
        <v>77</v>
      </c>
      <c r="H77" s="276" t="s">
        <v>77</v>
      </c>
      <c r="I77" s="275" t="s">
        <v>532</v>
      </c>
      <c r="J77" s="275" t="s">
        <v>168</v>
      </c>
      <c r="K77" s="276"/>
      <c r="L77" s="272" t="s">
        <v>11</v>
      </c>
      <c r="M77" s="308">
        <v>1</v>
      </c>
      <c r="N77" s="11" t="s">
        <v>77</v>
      </c>
      <c r="O77" s="11" t="s">
        <v>77</v>
      </c>
      <c r="P77" s="304" t="s">
        <v>77</v>
      </c>
      <c r="Q77" s="3">
        <v>0</v>
      </c>
      <c r="R77" s="3">
        <v>0</v>
      </c>
      <c r="S77" s="4">
        <v>0</v>
      </c>
      <c r="T77" s="4">
        <v>0</v>
      </c>
      <c r="U77" s="4">
        <v>0</v>
      </c>
      <c r="V77" s="4">
        <v>0</v>
      </c>
      <c r="W77" s="51" t="s">
        <v>77</v>
      </c>
      <c r="X77" s="51" t="s">
        <v>77</v>
      </c>
      <c r="Y77" s="145">
        <f t="shared" si="205"/>
        <v>0</v>
      </c>
      <c r="Z77" s="145">
        <f t="shared" si="206"/>
        <v>0</v>
      </c>
      <c r="AA77" s="145">
        <f t="shared" si="207"/>
        <v>0</v>
      </c>
      <c r="AB77" s="145">
        <f t="shared" si="215"/>
        <v>0</v>
      </c>
      <c r="AC77" s="145">
        <f t="shared" si="216"/>
        <v>0</v>
      </c>
      <c r="AD77" s="145">
        <f t="shared" si="208"/>
        <v>0</v>
      </c>
      <c r="AE77" s="145">
        <f t="shared" si="209"/>
        <v>0</v>
      </c>
      <c r="AF77" s="145">
        <f t="shared" si="217"/>
        <v>0</v>
      </c>
      <c r="AG77" s="145">
        <f t="shared" si="218"/>
        <v>0</v>
      </c>
      <c r="AH77" s="76">
        <v>1000000</v>
      </c>
      <c r="AI77" s="76">
        <v>1500000</v>
      </c>
      <c r="AJ77" s="76">
        <f t="shared" si="230"/>
        <v>1250000</v>
      </c>
      <c r="AK77" s="76">
        <f t="shared" si="231"/>
        <v>1000000</v>
      </c>
      <c r="AL77" s="76">
        <f t="shared" si="232"/>
        <v>1500000</v>
      </c>
      <c r="AM77" s="76">
        <f t="shared" si="196"/>
        <v>1250000</v>
      </c>
      <c r="AN77" s="104">
        <v>0.4</v>
      </c>
      <c r="AO77" s="76">
        <v>50000</v>
      </c>
      <c r="AP77" s="76">
        <f>(AK77*(1+$AN$2))+AO77</f>
        <v>1450000</v>
      </c>
      <c r="AQ77" s="76">
        <f>(AL77*(1+$AN$2))+AO77</f>
        <v>2150000</v>
      </c>
      <c r="AR77" s="76">
        <f t="shared" si="53"/>
        <v>1800000</v>
      </c>
      <c r="AS77" s="76">
        <v>50000</v>
      </c>
      <c r="AT77" s="76">
        <v>100000</v>
      </c>
      <c r="AU77" s="76">
        <f t="shared" si="235"/>
        <v>75000</v>
      </c>
      <c r="AV77" s="76">
        <f t="shared" si="236"/>
        <v>50000</v>
      </c>
      <c r="AW77" s="76">
        <f t="shared" si="237"/>
        <v>100000</v>
      </c>
      <c r="AX77" s="76">
        <f t="shared" si="197"/>
        <v>75000</v>
      </c>
      <c r="AY77" s="326">
        <v>0.1</v>
      </c>
      <c r="AZ77" s="51">
        <v>0.3</v>
      </c>
      <c r="BA77" s="51">
        <v>0.1</v>
      </c>
      <c r="BB77" s="327" t="s">
        <v>298</v>
      </c>
      <c r="BC77" s="76">
        <f t="shared" si="242"/>
        <v>1885000</v>
      </c>
      <c r="BD77" s="76">
        <f t="shared" si="243"/>
        <v>2795000</v>
      </c>
      <c r="BE77" s="76">
        <f t="shared" si="42"/>
        <v>2340000</v>
      </c>
      <c r="BF77" s="76">
        <f t="shared" si="240"/>
        <v>55000.000000000007</v>
      </c>
      <c r="BG77" s="76">
        <f t="shared" si="241"/>
        <v>110000.00000000001</v>
      </c>
      <c r="BH77" s="76">
        <f t="shared" si="7"/>
        <v>82500</v>
      </c>
      <c r="BI77" s="4">
        <v>10</v>
      </c>
      <c r="BJ77" s="76">
        <v>750000</v>
      </c>
      <c r="BK77" s="76">
        <f t="shared" si="204"/>
        <v>1500000</v>
      </c>
      <c r="BL77" s="111">
        <f t="shared" si="225"/>
        <v>743102.05231031997</v>
      </c>
      <c r="BM77" s="4">
        <f t="shared" si="210"/>
        <v>0</v>
      </c>
      <c r="BN77" s="4">
        <f t="shared" si="57"/>
        <v>0</v>
      </c>
      <c r="BO77" s="4">
        <f t="shared" si="201"/>
        <v>0</v>
      </c>
      <c r="BP77" s="4">
        <f t="shared" si="58"/>
        <v>0</v>
      </c>
      <c r="BQ77" s="324">
        <f t="shared" ref="BQ77:BR79" si="244">IF($Q77&lt;$W$122,BM77,(BM77-((BM77/$Q77)*($Q77-$W$122))))</f>
        <v>0</v>
      </c>
      <c r="BR77" s="324">
        <f t="shared" si="244"/>
        <v>0</v>
      </c>
      <c r="BS77" s="324">
        <f t="shared" ref="BS77:BT79" si="245">IF($R77&lt;$X$122,BO77,(BO77-((BO77/$R77)*($R77-$X$122))))</f>
        <v>0</v>
      </c>
      <c r="BT77" s="324">
        <f t="shared" si="245"/>
        <v>0</v>
      </c>
      <c r="BU77" s="76">
        <f>IF((Y77+Z77+AD77+AE77=0),(BE77+PV($BY$2,$CB$2,-BH77,0,0)),"N/A")</f>
        <v>3368132.3532595485</v>
      </c>
      <c r="BV77" s="111" t="s">
        <v>77</v>
      </c>
      <c r="BW77" s="88" t="s">
        <v>77</v>
      </c>
      <c r="BX77" s="88" t="s">
        <v>77</v>
      </c>
      <c r="BY77" s="89" t="s">
        <v>77</v>
      </c>
      <c r="BZ77" s="88" t="s">
        <v>77</v>
      </c>
      <c r="CA77" s="88" t="s">
        <v>77</v>
      </c>
      <c r="CB77" s="89" t="s">
        <v>77</v>
      </c>
      <c r="CC77" s="88" t="s">
        <v>77</v>
      </c>
      <c r="CD77" s="88" t="s">
        <v>77</v>
      </c>
      <c r="CE77" s="89" t="s">
        <v>77</v>
      </c>
      <c r="CF77" s="88" t="s">
        <v>77</v>
      </c>
      <c r="CG77" s="88" t="s">
        <v>77</v>
      </c>
      <c r="CH77" s="89" t="s">
        <v>77</v>
      </c>
      <c r="CI77" s="41">
        <f>IF(Z77&gt;0,((BC77+PV($BY$2,$CB$2,-BF77,0,0))/Z77),0)</f>
        <v>0</v>
      </c>
      <c r="CJ77" s="41">
        <f>IF(Y77&gt;0,((BD77+PV($BY$2,$CB$2,-BG77,0,0))/Y77),0)</f>
        <v>0</v>
      </c>
      <c r="CK77" s="41">
        <f>IF(AE77&gt;0,((BC77+PV($BY$2,$CB$2,-BF77,0,0))/AE77),0)</f>
        <v>0</v>
      </c>
      <c r="CL77" s="41">
        <f>IF(AD77&gt;0,((BD77+PV($BY$2,$CB$2,-BG77,0,0))/AD77),0)</f>
        <v>0</v>
      </c>
      <c r="CM77" s="88" t="s">
        <v>77</v>
      </c>
      <c r="CN77" s="88" t="s">
        <v>77</v>
      </c>
      <c r="CO77" s="89" t="s">
        <v>77</v>
      </c>
      <c r="CP77" s="88" t="s">
        <v>77</v>
      </c>
      <c r="CQ77" s="88" t="s">
        <v>77</v>
      </c>
      <c r="CR77" s="89" t="s">
        <v>77</v>
      </c>
      <c r="CS77" s="88" t="s">
        <v>77</v>
      </c>
      <c r="CT77" s="88" t="s">
        <v>77</v>
      </c>
      <c r="CU77" s="89" t="s">
        <v>77</v>
      </c>
      <c r="CV77" s="88" t="s">
        <v>77</v>
      </c>
      <c r="CW77" s="88" t="s">
        <v>77</v>
      </c>
      <c r="CX77" s="89" t="s">
        <v>77</v>
      </c>
      <c r="CY77" s="286" t="s">
        <v>310</v>
      </c>
      <c r="CZ77" s="285" t="s">
        <v>56</v>
      </c>
      <c r="DA77" s="285" t="s">
        <v>57</v>
      </c>
      <c r="DB77" s="285" t="s">
        <v>77</v>
      </c>
      <c r="DC77" s="285" t="s">
        <v>57</v>
      </c>
      <c r="DD77" s="275" t="s">
        <v>176</v>
      </c>
      <c r="DE77" s="275" t="s">
        <v>177</v>
      </c>
      <c r="DF77" s="285" t="s">
        <v>57</v>
      </c>
      <c r="DG77" s="285" t="s">
        <v>57</v>
      </c>
      <c r="DH77" s="285" t="s">
        <v>57</v>
      </c>
      <c r="DI77" s="285" t="s">
        <v>57</v>
      </c>
      <c r="DJ77" s="271" t="s">
        <v>362</v>
      </c>
      <c r="DK77" s="272" t="s">
        <v>77</v>
      </c>
      <c r="DL77" s="272" t="s">
        <v>77</v>
      </c>
      <c r="DM77" s="271" t="s">
        <v>362</v>
      </c>
      <c r="DN77" s="272" t="s">
        <v>77</v>
      </c>
      <c r="DO77" s="520"/>
      <c r="DP77" s="520"/>
      <c r="DS77" s="271" t="s">
        <v>178</v>
      </c>
      <c r="DT77" s="105"/>
      <c r="DU77" s="28"/>
      <c r="DV77" s="28"/>
      <c r="DW77" s="28"/>
      <c r="DX77" s="28"/>
      <c r="DY77" s="28"/>
      <c r="DZ77" s="28"/>
      <c r="EA77" s="28"/>
      <c r="EB77" s="28"/>
    </row>
    <row r="78" spans="1:132" ht="183.75" customHeight="1" x14ac:dyDescent="0.2">
      <c r="A78" s="759"/>
      <c r="B78" s="282" t="s">
        <v>179</v>
      </c>
      <c r="C78" s="84"/>
      <c r="D78" s="235">
        <v>808</v>
      </c>
      <c r="E78" s="275" t="s">
        <v>413</v>
      </c>
      <c r="F78" s="276" t="s">
        <v>175</v>
      </c>
      <c r="G78" s="276" t="s">
        <v>77</v>
      </c>
      <c r="H78" s="276" t="s">
        <v>77</v>
      </c>
      <c r="I78" s="275" t="s">
        <v>532</v>
      </c>
      <c r="J78" s="275" t="s">
        <v>168</v>
      </c>
      <c r="K78" s="276"/>
      <c r="L78" s="272" t="s">
        <v>11</v>
      </c>
      <c r="M78" s="308">
        <v>1</v>
      </c>
      <c r="N78" s="11" t="s">
        <v>77</v>
      </c>
      <c r="O78" s="11" t="s">
        <v>77</v>
      </c>
      <c r="P78" s="304" t="s">
        <v>77</v>
      </c>
      <c r="Q78" s="3">
        <v>0</v>
      </c>
      <c r="R78" s="3">
        <v>0</v>
      </c>
      <c r="S78" s="4">
        <v>0</v>
      </c>
      <c r="T78" s="4">
        <v>0</v>
      </c>
      <c r="U78" s="4">
        <v>0</v>
      </c>
      <c r="V78" s="4">
        <v>0</v>
      </c>
      <c r="W78" s="51" t="s">
        <v>77</v>
      </c>
      <c r="X78" s="51" t="s">
        <v>77</v>
      </c>
      <c r="Y78" s="145">
        <f t="shared" si="205"/>
        <v>0</v>
      </c>
      <c r="Z78" s="145">
        <f t="shared" si="206"/>
        <v>0</v>
      </c>
      <c r="AA78" s="145">
        <f t="shared" si="207"/>
        <v>0</v>
      </c>
      <c r="AB78" s="145">
        <f t="shared" si="215"/>
        <v>0</v>
      </c>
      <c r="AC78" s="145">
        <f t="shared" si="216"/>
        <v>0</v>
      </c>
      <c r="AD78" s="145">
        <f t="shared" si="208"/>
        <v>0</v>
      </c>
      <c r="AE78" s="145">
        <f t="shared" si="209"/>
        <v>0</v>
      </c>
      <c r="AF78" s="145">
        <f t="shared" si="217"/>
        <v>0</v>
      </c>
      <c r="AG78" s="145">
        <f t="shared" si="218"/>
        <v>0</v>
      </c>
      <c r="AH78" s="76">
        <v>400000</v>
      </c>
      <c r="AI78" s="76">
        <v>600000</v>
      </c>
      <c r="AJ78" s="76">
        <f t="shared" si="230"/>
        <v>500000</v>
      </c>
      <c r="AK78" s="76">
        <f t="shared" si="231"/>
        <v>400000</v>
      </c>
      <c r="AL78" s="76">
        <f t="shared" si="232"/>
        <v>600000</v>
      </c>
      <c r="AM78" s="76">
        <f t="shared" si="196"/>
        <v>500000</v>
      </c>
      <c r="AN78" s="104">
        <v>0.4</v>
      </c>
      <c r="AO78" s="76">
        <v>50000</v>
      </c>
      <c r="AP78" s="76">
        <f>(AK78*(1+$AN$2))+AO78</f>
        <v>610000</v>
      </c>
      <c r="AQ78" s="76">
        <f>(AL78*(1+$AN$2))+AO78</f>
        <v>890000</v>
      </c>
      <c r="AR78" s="76">
        <f t="shared" si="53"/>
        <v>750000</v>
      </c>
      <c r="AS78" s="76">
        <v>5000</v>
      </c>
      <c r="AT78" s="76">
        <v>10000</v>
      </c>
      <c r="AU78" s="76">
        <f t="shared" si="235"/>
        <v>7500</v>
      </c>
      <c r="AV78" s="76">
        <f t="shared" si="236"/>
        <v>5000</v>
      </c>
      <c r="AW78" s="76">
        <f t="shared" si="237"/>
        <v>10000</v>
      </c>
      <c r="AX78" s="76">
        <f t="shared" si="197"/>
        <v>7500</v>
      </c>
      <c r="AY78" s="326">
        <v>0.1</v>
      </c>
      <c r="AZ78" s="51">
        <v>0.2</v>
      </c>
      <c r="BA78" s="51">
        <v>0.1</v>
      </c>
      <c r="BB78" s="327" t="s">
        <v>296</v>
      </c>
      <c r="BC78" s="76">
        <f t="shared" si="242"/>
        <v>732000</v>
      </c>
      <c r="BD78" s="76">
        <f t="shared" si="243"/>
        <v>1068000</v>
      </c>
      <c r="BE78" s="76">
        <f t="shared" si="42"/>
        <v>900000</v>
      </c>
      <c r="BF78" s="76">
        <f t="shared" si="240"/>
        <v>5500</v>
      </c>
      <c r="BG78" s="76">
        <f t="shared" si="241"/>
        <v>11000</v>
      </c>
      <c r="BH78" s="76">
        <f t="shared" si="7"/>
        <v>8250</v>
      </c>
      <c r="BI78" s="4">
        <v>10</v>
      </c>
      <c r="BJ78" s="76">
        <v>100000</v>
      </c>
      <c r="BK78" s="76">
        <f t="shared" si="204"/>
        <v>200000</v>
      </c>
      <c r="BL78" s="111">
        <f t="shared" si="225"/>
        <v>99080.273641375985</v>
      </c>
      <c r="BM78" s="4">
        <f t="shared" si="210"/>
        <v>0</v>
      </c>
      <c r="BN78" s="4">
        <f t="shared" si="57"/>
        <v>0</v>
      </c>
      <c r="BO78" s="4">
        <f t="shared" si="201"/>
        <v>0</v>
      </c>
      <c r="BP78" s="4">
        <f t="shared" si="58"/>
        <v>0</v>
      </c>
      <c r="BQ78" s="324">
        <f t="shared" si="244"/>
        <v>0</v>
      </c>
      <c r="BR78" s="324">
        <f t="shared" si="244"/>
        <v>0</v>
      </c>
      <c r="BS78" s="324">
        <f t="shared" si="245"/>
        <v>0</v>
      </c>
      <c r="BT78" s="324">
        <f t="shared" si="245"/>
        <v>0</v>
      </c>
      <c r="BU78" s="76">
        <f>IF((Y78+Z78+AD78+AE78=0),(BE78+PV($BY$2,$CB$2,-BH78,0,0)),"N/A")</f>
        <v>1002813.2353259549</v>
      </c>
      <c r="BV78" s="111" t="s">
        <v>77</v>
      </c>
      <c r="BW78" s="88" t="s">
        <v>77</v>
      </c>
      <c r="BX78" s="88" t="s">
        <v>77</v>
      </c>
      <c r="BY78" s="89" t="s">
        <v>77</v>
      </c>
      <c r="BZ78" s="88" t="s">
        <v>77</v>
      </c>
      <c r="CA78" s="88" t="s">
        <v>77</v>
      </c>
      <c r="CB78" s="89" t="s">
        <v>77</v>
      </c>
      <c r="CC78" s="88" t="s">
        <v>77</v>
      </c>
      <c r="CD78" s="88" t="s">
        <v>77</v>
      </c>
      <c r="CE78" s="89" t="s">
        <v>77</v>
      </c>
      <c r="CF78" s="88" t="s">
        <v>77</v>
      </c>
      <c r="CG78" s="88" t="s">
        <v>77</v>
      </c>
      <c r="CH78" s="89" t="s">
        <v>77</v>
      </c>
      <c r="CI78" s="41">
        <f>IF(Z78&gt;0,((BC78+PV($BY$2,$CB$2,-BF78,0,0))/Z78),0)</f>
        <v>0</v>
      </c>
      <c r="CJ78" s="41">
        <f>IF(Y78&gt;0,((BD78+PV($BY$2,$CB$2,-BG78,0,0))/Y78),0)</f>
        <v>0</v>
      </c>
      <c r="CK78" s="41">
        <f>IF(AE78&gt;0,((BC78+PV($BY$2,$CB$2,-BF78,0,0))/AE78),0)</f>
        <v>0</v>
      </c>
      <c r="CL78" s="41">
        <f>IF(AD78&gt;0,((BD78+PV($BY$2,$CB$2,-BG78,0,0))/AD78),0)</f>
        <v>0</v>
      </c>
      <c r="CM78" s="88" t="s">
        <v>77</v>
      </c>
      <c r="CN78" s="88" t="s">
        <v>77</v>
      </c>
      <c r="CO78" s="89" t="s">
        <v>77</v>
      </c>
      <c r="CP78" s="88" t="s">
        <v>77</v>
      </c>
      <c r="CQ78" s="88" t="s">
        <v>77</v>
      </c>
      <c r="CR78" s="89" t="s">
        <v>77</v>
      </c>
      <c r="CS78" s="88" t="s">
        <v>77</v>
      </c>
      <c r="CT78" s="88" t="s">
        <v>77</v>
      </c>
      <c r="CU78" s="89" t="s">
        <v>77</v>
      </c>
      <c r="CV78" s="88" t="s">
        <v>77</v>
      </c>
      <c r="CW78" s="88" t="s">
        <v>77</v>
      </c>
      <c r="CX78" s="89" t="s">
        <v>77</v>
      </c>
      <c r="CY78" s="286" t="s">
        <v>310</v>
      </c>
      <c r="CZ78" s="285" t="s">
        <v>56</v>
      </c>
      <c r="DA78" s="285" t="s">
        <v>57</v>
      </c>
      <c r="DB78" s="285" t="s">
        <v>77</v>
      </c>
      <c r="DC78" s="285" t="s">
        <v>57</v>
      </c>
      <c r="DD78" s="275" t="s">
        <v>180</v>
      </c>
      <c r="DE78" s="275" t="s">
        <v>181</v>
      </c>
      <c r="DF78" s="285" t="s">
        <v>57</v>
      </c>
      <c r="DG78" s="285" t="s">
        <v>57</v>
      </c>
      <c r="DH78" s="285" t="s">
        <v>57</v>
      </c>
      <c r="DI78" s="285" t="s">
        <v>57</v>
      </c>
      <c r="DJ78" s="271" t="s">
        <v>362</v>
      </c>
      <c r="DK78" s="272" t="s">
        <v>358</v>
      </c>
      <c r="DL78" s="272" t="s">
        <v>77</v>
      </c>
      <c r="DM78" s="271" t="s">
        <v>356</v>
      </c>
      <c r="DN78" s="272" t="s">
        <v>481</v>
      </c>
      <c r="DO78" s="520"/>
      <c r="DP78" s="520"/>
      <c r="DS78" s="271" t="s">
        <v>182</v>
      </c>
      <c r="DT78" s="105"/>
      <c r="DU78" s="28"/>
      <c r="DV78" s="28"/>
      <c r="DW78" s="28"/>
      <c r="DX78" s="28"/>
      <c r="DY78" s="28"/>
      <c r="DZ78" s="28"/>
      <c r="EA78" s="28"/>
      <c r="EB78" s="28"/>
    </row>
    <row r="79" spans="1:132" ht="367.5" customHeight="1" x14ac:dyDescent="0.2">
      <c r="A79" s="759"/>
      <c r="B79" s="282" t="s">
        <v>183</v>
      </c>
      <c r="C79" s="84"/>
      <c r="D79" s="235">
        <v>809</v>
      </c>
      <c r="E79" s="271" t="s">
        <v>555</v>
      </c>
      <c r="F79" s="276" t="s">
        <v>84</v>
      </c>
      <c r="G79" s="276" t="s">
        <v>77</v>
      </c>
      <c r="H79" s="276" t="s">
        <v>77</v>
      </c>
      <c r="I79" s="275" t="s">
        <v>533</v>
      </c>
      <c r="J79" s="271" t="s">
        <v>184</v>
      </c>
      <c r="K79" s="272"/>
      <c r="L79" s="272" t="s">
        <v>10</v>
      </c>
      <c r="M79" s="308">
        <v>1</v>
      </c>
      <c r="N79" s="11" t="s">
        <v>77</v>
      </c>
      <c r="O79" s="304" t="s">
        <v>77</v>
      </c>
      <c r="P79" s="304" t="s">
        <v>77</v>
      </c>
      <c r="Q79" s="3">
        <v>0</v>
      </c>
      <c r="R79" s="3">
        <v>0</v>
      </c>
      <c r="S79" s="4">
        <v>100</v>
      </c>
      <c r="T79" s="4">
        <v>100</v>
      </c>
      <c r="U79" s="4">
        <v>100</v>
      </c>
      <c r="V79" s="4">
        <v>100</v>
      </c>
      <c r="W79" s="51" t="s">
        <v>77</v>
      </c>
      <c r="X79" s="51" t="s">
        <v>77</v>
      </c>
      <c r="Y79" s="145">
        <f t="shared" si="205"/>
        <v>0</v>
      </c>
      <c r="Z79" s="145">
        <f t="shared" si="206"/>
        <v>0</v>
      </c>
      <c r="AA79" s="145">
        <f t="shared" si="207"/>
        <v>0</v>
      </c>
      <c r="AB79" s="145">
        <f t="shared" si="215"/>
        <v>0</v>
      </c>
      <c r="AC79" s="145">
        <f t="shared" si="216"/>
        <v>0</v>
      </c>
      <c r="AD79" s="145">
        <f t="shared" si="208"/>
        <v>0</v>
      </c>
      <c r="AE79" s="145">
        <f t="shared" si="209"/>
        <v>0</v>
      </c>
      <c r="AF79" s="145">
        <f t="shared" si="217"/>
        <v>0</v>
      </c>
      <c r="AG79" s="145">
        <f t="shared" si="218"/>
        <v>0</v>
      </c>
      <c r="AH79" s="76">
        <v>1000</v>
      </c>
      <c r="AI79" s="76">
        <v>2000</v>
      </c>
      <c r="AJ79" s="76">
        <f t="shared" si="230"/>
        <v>1500</v>
      </c>
      <c r="AK79" s="76">
        <f t="shared" si="231"/>
        <v>1000</v>
      </c>
      <c r="AL79" s="76">
        <f t="shared" si="232"/>
        <v>2000</v>
      </c>
      <c r="AM79" s="76">
        <f t="shared" si="196"/>
        <v>1500</v>
      </c>
      <c r="AN79" s="104">
        <v>0.4</v>
      </c>
      <c r="AO79" s="76">
        <v>0</v>
      </c>
      <c r="AP79" s="76">
        <f>(AK79*(1+$AN$2))+AO79</f>
        <v>1400</v>
      </c>
      <c r="AQ79" s="76">
        <f>(AL79*(1+$AN$2))+AO79</f>
        <v>2800</v>
      </c>
      <c r="AR79" s="76">
        <f t="shared" si="53"/>
        <v>2100</v>
      </c>
      <c r="AS79" s="111">
        <v>1.65</v>
      </c>
      <c r="AT79" s="111">
        <v>6</v>
      </c>
      <c r="AU79" s="76">
        <f t="shared" si="235"/>
        <v>3.8250000000000002</v>
      </c>
      <c r="AV79" s="76">
        <f t="shared" si="236"/>
        <v>1.65</v>
      </c>
      <c r="AW79" s="76">
        <f t="shared" si="237"/>
        <v>6</v>
      </c>
      <c r="AX79" s="76">
        <f t="shared" si="197"/>
        <v>3.8250000000000002</v>
      </c>
      <c r="AY79" s="51">
        <v>0</v>
      </c>
      <c r="AZ79" s="51">
        <v>0.3</v>
      </c>
      <c r="BA79" s="51">
        <v>0</v>
      </c>
      <c r="BB79" s="327" t="s">
        <v>297</v>
      </c>
      <c r="BC79" s="76">
        <f t="shared" si="242"/>
        <v>1820</v>
      </c>
      <c r="BD79" s="76">
        <f t="shared" si="243"/>
        <v>3640</v>
      </c>
      <c r="BE79" s="76">
        <f t="shared" si="42"/>
        <v>2730</v>
      </c>
      <c r="BF79" s="76">
        <f t="shared" si="240"/>
        <v>1.65</v>
      </c>
      <c r="BG79" s="76">
        <f t="shared" si="241"/>
        <v>6</v>
      </c>
      <c r="BH79" s="76">
        <f t="shared" si="7"/>
        <v>3.8250000000000002</v>
      </c>
      <c r="BI79" s="4">
        <v>100</v>
      </c>
      <c r="BJ79" s="76">
        <v>0</v>
      </c>
      <c r="BK79" s="76">
        <f t="shared" si="204"/>
        <v>0</v>
      </c>
      <c r="BL79" s="111">
        <f t="shared" si="225"/>
        <v>0</v>
      </c>
      <c r="BM79" s="4">
        <f t="shared" si="210"/>
        <v>0</v>
      </c>
      <c r="BN79" s="4">
        <f t="shared" si="57"/>
        <v>0</v>
      </c>
      <c r="BO79" s="4">
        <f t="shared" si="201"/>
        <v>0</v>
      </c>
      <c r="BP79" s="4">
        <f t="shared" si="58"/>
        <v>0</v>
      </c>
      <c r="BQ79" s="324">
        <f t="shared" si="244"/>
        <v>0</v>
      </c>
      <c r="BR79" s="324">
        <f t="shared" si="244"/>
        <v>0</v>
      </c>
      <c r="BS79" s="324">
        <f t="shared" si="245"/>
        <v>0</v>
      </c>
      <c r="BT79" s="324">
        <f t="shared" si="245"/>
        <v>0</v>
      </c>
      <c r="BU79" s="76">
        <f>IF((Y79+Z79+AD79+AE79=0),(BE79+PV($BY$2,$CB$2,-BH79,0,0)),"N/A")</f>
        <v>2777.6679545602155</v>
      </c>
      <c r="BV79" s="111" t="s">
        <v>77</v>
      </c>
      <c r="BW79" s="88" t="s">
        <v>77</v>
      </c>
      <c r="BX79" s="88" t="s">
        <v>77</v>
      </c>
      <c r="BY79" s="89" t="s">
        <v>77</v>
      </c>
      <c r="BZ79" s="88" t="s">
        <v>77</v>
      </c>
      <c r="CA79" s="88" t="s">
        <v>77</v>
      </c>
      <c r="CB79" s="89" t="s">
        <v>77</v>
      </c>
      <c r="CC79" s="88" t="s">
        <v>77</v>
      </c>
      <c r="CD79" s="88" t="s">
        <v>77</v>
      </c>
      <c r="CE79" s="89" t="s">
        <v>77</v>
      </c>
      <c r="CF79" s="88" t="s">
        <v>77</v>
      </c>
      <c r="CG79" s="88" t="s">
        <v>77</v>
      </c>
      <c r="CH79" s="89" t="s">
        <v>77</v>
      </c>
      <c r="CI79" s="41">
        <f>IF(Z79&gt;0,((BC79+PV($BY$2,$CB$2,-BF79,0,0))/Z79),0)</f>
        <v>0</v>
      </c>
      <c r="CJ79" s="41">
        <f>IF(Y79&gt;0,((BD79+PV($BY$2,$CB$2,-BG79,0,0))/Y79),0)</f>
        <v>0</v>
      </c>
      <c r="CK79" s="41">
        <f>IF(AE79&gt;0,((BC79+PV($BY$2,$CB$2,-BF79,0,0))/AE79),0)</f>
        <v>0</v>
      </c>
      <c r="CL79" s="41">
        <f>IF(AD79&gt;0,((BD79+PV($BY$2,$CB$2,-BG79,0,0))/AD79),0)</f>
        <v>0</v>
      </c>
      <c r="CM79" s="88" t="s">
        <v>77</v>
      </c>
      <c r="CN79" s="88" t="s">
        <v>77</v>
      </c>
      <c r="CO79" s="89" t="s">
        <v>77</v>
      </c>
      <c r="CP79" s="88" t="s">
        <v>77</v>
      </c>
      <c r="CQ79" s="88" t="s">
        <v>77</v>
      </c>
      <c r="CR79" s="89" t="s">
        <v>77</v>
      </c>
      <c r="CS79" s="88" t="s">
        <v>77</v>
      </c>
      <c r="CT79" s="88" t="s">
        <v>77</v>
      </c>
      <c r="CU79" s="89" t="s">
        <v>77</v>
      </c>
      <c r="CV79" s="88" t="s">
        <v>77</v>
      </c>
      <c r="CW79" s="88" t="s">
        <v>77</v>
      </c>
      <c r="CX79" s="89" t="s">
        <v>77</v>
      </c>
      <c r="CY79" s="286" t="s">
        <v>310</v>
      </c>
      <c r="CZ79" s="285" t="s">
        <v>56</v>
      </c>
      <c r="DA79" s="285" t="s">
        <v>57</v>
      </c>
      <c r="DB79" s="285" t="s">
        <v>77</v>
      </c>
      <c r="DC79" s="285" t="s">
        <v>57</v>
      </c>
      <c r="DD79" s="271" t="s">
        <v>185</v>
      </c>
      <c r="DE79" s="275" t="s">
        <v>556</v>
      </c>
      <c r="DF79" s="285" t="s">
        <v>57</v>
      </c>
      <c r="DG79" s="285" t="s">
        <v>57</v>
      </c>
      <c r="DH79" s="285" t="s">
        <v>57</v>
      </c>
      <c r="DI79" s="285" t="s">
        <v>57</v>
      </c>
      <c r="DJ79" s="271" t="s">
        <v>362</v>
      </c>
      <c r="DK79" s="272" t="s">
        <v>358</v>
      </c>
      <c r="DL79" s="272" t="s">
        <v>77</v>
      </c>
      <c r="DM79" s="271" t="s">
        <v>356</v>
      </c>
      <c r="DN79" s="272" t="s">
        <v>481</v>
      </c>
      <c r="DO79" s="520"/>
      <c r="DP79" s="520"/>
      <c r="DS79" s="271" t="s">
        <v>186</v>
      </c>
      <c r="DT79" s="105" t="s">
        <v>187</v>
      </c>
      <c r="DU79" s="28"/>
      <c r="DV79" s="28"/>
      <c r="DW79" s="28"/>
      <c r="DX79" s="28"/>
      <c r="DY79" s="28"/>
      <c r="DZ79" s="28"/>
      <c r="EA79" s="28"/>
      <c r="EB79" s="28"/>
    </row>
    <row r="80" spans="1:132" ht="111.75" customHeight="1" x14ac:dyDescent="0.2">
      <c r="A80" s="759"/>
      <c r="B80" s="742" t="s">
        <v>188</v>
      </c>
      <c r="C80" s="744"/>
      <c r="D80" s="744">
        <v>810</v>
      </c>
      <c r="E80" s="746" t="s">
        <v>189</v>
      </c>
      <c r="F80" s="750" t="s">
        <v>84</v>
      </c>
      <c r="G80" s="750" t="s">
        <v>77</v>
      </c>
      <c r="H80" s="750" t="s">
        <v>77</v>
      </c>
      <c r="I80" s="700" t="s">
        <v>534</v>
      </c>
      <c r="J80" s="746" t="s">
        <v>190</v>
      </c>
      <c r="K80" s="748"/>
      <c r="L80" s="748" t="s">
        <v>10</v>
      </c>
      <c r="M80" s="740">
        <v>1</v>
      </c>
      <c r="N80" s="293" t="s">
        <v>77</v>
      </c>
      <c r="O80" s="649" t="s">
        <v>77</v>
      </c>
      <c r="P80" s="649" t="s">
        <v>77</v>
      </c>
      <c r="Q80" s="651">
        <v>0</v>
      </c>
      <c r="R80" s="651">
        <v>0</v>
      </c>
      <c r="S80" s="662">
        <v>100</v>
      </c>
      <c r="T80" s="662">
        <v>100</v>
      </c>
      <c r="U80" s="662">
        <v>100</v>
      </c>
      <c r="V80" s="662">
        <v>100</v>
      </c>
      <c r="W80" s="605" t="s">
        <v>77</v>
      </c>
      <c r="X80" s="605" t="s">
        <v>77</v>
      </c>
      <c r="Y80" s="601">
        <f t="shared" si="205"/>
        <v>0</v>
      </c>
      <c r="Z80" s="601">
        <f t="shared" si="206"/>
        <v>0</v>
      </c>
      <c r="AA80" s="601">
        <f t="shared" si="207"/>
        <v>0</v>
      </c>
      <c r="AB80" s="601">
        <f>Z80*0.4536</f>
        <v>0</v>
      </c>
      <c r="AC80" s="145"/>
      <c r="AD80" s="601">
        <f t="shared" si="208"/>
        <v>0</v>
      </c>
      <c r="AE80" s="601">
        <f t="shared" si="209"/>
        <v>0</v>
      </c>
      <c r="AF80" s="601">
        <f>AD80*0.4536</f>
        <v>0</v>
      </c>
      <c r="AG80" s="601">
        <f>AE80*0.4536</f>
        <v>0</v>
      </c>
      <c r="AH80" s="603">
        <v>150</v>
      </c>
      <c r="AI80" s="603">
        <v>200</v>
      </c>
      <c r="AJ80" s="603">
        <f>(AH80+AI80)/2</f>
        <v>175</v>
      </c>
      <c r="AK80" s="603">
        <f t="shared" si="231"/>
        <v>150</v>
      </c>
      <c r="AL80" s="603">
        <f t="shared" si="232"/>
        <v>200</v>
      </c>
      <c r="AM80" s="603">
        <f t="shared" si="196"/>
        <v>175</v>
      </c>
      <c r="AN80" s="664">
        <v>0.2</v>
      </c>
      <c r="AO80" s="603">
        <v>0</v>
      </c>
      <c r="AP80" s="603">
        <f>(AK80*(1+$AN$2))+AO80</f>
        <v>210</v>
      </c>
      <c r="AQ80" s="603">
        <f>(AL80*(1+$AN$2))+AO80</f>
        <v>280</v>
      </c>
      <c r="AR80" s="603">
        <f>(AP80+AQ80)/2</f>
        <v>245</v>
      </c>
      <c r="AS80" s="808">
        <v>1.65</v>
      </c>
      <c r="AT80" s="808">
        <v>3</v>
      </c>
      <c r="AU80" s="603">
        <f>(AS80+AT80)/2</f>
        <v>2.3250000000000002</v>
      </c>
      <c r="AV80" s="603">
        <f t="shared" si="236"/>
        <v>1.65</v>
      </c>
      <c r="AW80" s="603">
        <f t="shared" si="237"/>
        <v>3</v>
      </c>
      <c r="AX80" s="603">
        <f t="shared" si="197"/>
        <v>2.3250000000000002</v>
      </c>
      <c r="AY80" s="605">
        <v>0</v>
      </c>
      <c r="AZ80" s="605">
        <v>0</v>
      </c>
      <c r="BA80" s="605">
        <v>0</v>
      </c>
      <c r="BB80" s="810"/>
      <c r="BC80" s="603">
        <f>AP80*(1+$AZ80)</f>
        <v>210</v>
      </c>
      <c r="BD80" s="603">
        <f>AQ80*(1+$AZ80)</f>
        <v>280</v>
      </c>
      <c r="BE80" s="603">
        <f>AR80*(1+$AZ80)</f>
        <v>245</v>
      </c>
      <c r="BF80" s="603">
        <f>AV80*(1+$BA80)</f>
        <v>1.65</v>
      </c>
      <c r="BG80" s="603">
        <f>AW80*(1+$BA80)</f>
        <v>3</v>
      </c>
      <c r="BH80" s="603">
        <f>AX80*(1+$BA80)</f>
        <v>2.3250000000000002</v>
      </c>
      <c r="BI80" s="662">
        <v>100</v>
      </c>
      <c r="BJ80" s="603">
        <v>0</v>
      </c>
      <c r="BK80" s="603">
        <f>IF(($CB$2/BI80)&gt;0,((($CB$2/BI80))*BJ80),0)</f>
        <v>0</v>
      </c>
      <c r="BL80" s="808">
        <f>PV(((1+$BY$2)^BI80)-1,ROUNDUP($CB$2/BI80,0),-BJ80,0,0)</f>
        <v>0</v>
      </c>
      <c r="BM80" s="662">
        <f t="shared" si="210"/>
        <v>0</v>
      </c>
      <c r="BN80" s="662">
        <f>BM80*0.4536</f>
        <v>0</v>
      </c>
      <c r="BO80" s="662">
        <f t="shared" si="201"/>
        <v>0</v>
      </c>
      <c r="BP80" s="662">
        <f>BO80*0.4536</f>
        <v>0</v>
      </c>
      <c r="BQ80" s="324">
        <f>IF($Q80&lt;$W$122,BM80,(BM80-((BM80/$Q80)*($Q80-$W$122))))</f>
        <v>0</v>
      </c>
      <c r="BR80" s="324">
        <f>IF($Q80&lt;$W$122,BN80,(BN80-((BN80/$Q80)*($Q80-$W$122))))</f>
        <v>0</v>
      </c>
      <c r="BS80" s="324">
        <f>IF($R80&lt;$X$122,BO80,(BO80-((BO80/$R80)*($R80-$X$122))))</f>
        <v>0</v>
      </c>
      <c r="BT80" s="324">
        <f>IF($R80&lt;$X$122,BP80,(BP80-((BP80/$R80)*($R80-$X$122))))</f>
        <v>0</v>
      </c>
      <c r="BU80" s="603">
        <f>IF((Y80+Z80+AD80+AE80=0),(BE80+PV($BY$2,$CB$2,-BH80,0,0)),"N/A")</f>
        <v>273.97463904640546</v>
      </c>
      <c r="BV80" s="808" t="s">
        <v>77</v>
      </c>
      <c r="BW80" s="608" t="s">
        <v>77</v>
      </c>
      <c r="BX80" s="608" t="s">
        <v>77</v>
      </c>
      <c r="BY80" s="610" t="s">
        <v>77</v>
      </c>
      <c r="BZ80" s="608" t="s">
        <v>77</v>
      </c>
      <c r="CA80" s="608" t="s">
        <v>77</v>
      </c>
      <c r="CB80" s="610" t="s">
        <v>77</v>
      </c>
      <c r="CC80" s="608" t="s">
        <v>77</v>
      </c>
      <c r="CD80" s="608" t="s">
        <v>77</v>
      </c>
      <c r="CE80" s="610" t="s">
        <v>77</v>
      </c>
      <c r="CF80" s="608" t="s">
        <v>77</v>
      </c>
      <c r="CG80" s="608" t="s">
        <v>77</v>
      </c>
      <c r="CH80" s="610" t="s">
        <v>77</v>
      </c>
      <c r="CI80" s="41"/>
      <c r="CJ80" s="41"/>
      <c r="CK80" s="41"/>
      <c r="CL80" s="41"/>
      <c r="CM80" s="608" t="s">
        <v>77</v>
      </c>
      <c r="CN80" s="608" t="s">
        <v>77</v>
      </c>
      <c r="CO80" s="610" t="s">
        <v>77</v>
      </c>
      <c r="CP80" s="608" t="s">
        <v>77</v>
      </c>
      <c r="CQ80" s="608" t="s">
        <v>77</v>
      </c>
      <c r="CR80" s="610" t="s">
        <v>77</v>
      </c>
      <c r="CS80" s="608" t="s">
        <v>77</v>
      </c>
      <c r="CT80" s="608" t="s">
        <v>77</v>
      </c>
      <c r="CU80" s="610" t="s">
        <v>77</v>
      </c>
      <c r="CV80" s="608" t="s">
        <v>77</v>
      </c>
      <c r="CW80" s="608" t="s">
        <v>77</v>
      </c>
      <c r="CX80" s="610" t="s">
        <v>77</v>
      </c>
      <c r="CY80" s="806" t="s">
        <v>118</v>
      </c>
      <c r="CZ80" s="643" t="s">
        <v>57</v>
      </c>
      <c r="DA80" s="643" t="s">
        <v>57</v>
      </c>
      <c r="DB80" s="643" t="s">
        <v>77</v>
      </c>
      <c r="DC80" s="643" t="s">
        <v>57</v>
      </c>
      <c r="DD80" s="746" t="s">
        <v>185</v>
      </c>
      <c r="DE80" s="700" t="s">
        <v>261</v>
      </c>
      <c r="DF80" s="643" t="s">
        <v>57</v>
      </c>
      <c r="DG80" s="643" t="s">
        <v>57</v>
      </c>
      <c r="DH80" s="643" t="s">
        <v>57</v>
      </c>
      <c r="DI80" s="643" t="s">
        <v>57</v>
      </c>
      <c r="DJ80" s="748" t="s">
        <v>77</v>
      </c>
      <c r="DK80" s="748" t="s">
        <v>77</v>
      </c>
      <c r="DL80" s="748" t="s">
        <v>77</v>
      </c>
      <c r="DM80" s="748" t="s">
        <v>77</v>
      </c>
      <c r="DN80" s="748" t="s">
        <v>77</v>
      </c>
      <c r="DO80" s="517"/>
      <c r="DP80" s="517"/>
      <c r="DS80" s="746" t="s">
        <v>191</v>
      </c>
      <c r="DT80" s="105"/>
      <c r="DU80" s="28"/>
      <c r="DV80" s="28"/>
      <c r="DW80" s="28"/>
      <c r="DX80" s="28"/>
      <c r="DY80" s="28"/>
      <c r="DZ80" s="28"/>
      <c r="EA80" s="28"/>
      <c r="EB80" s="28"/>
    </row>
    <row r="81" spans="1:132" ht="51.75" customHeight="1" x14ac:dyDescent="0.2">
      <c r="A81" s="773"/>
      <c r="B81" s="743"/>
      <c r="C81" s="745"/>
      <c r="D81" s="745"/>
      <c r="E81" s="747"/>
      <c r="F81" s="751"/>
      <c r="G81" s="751"/>
      <c r="H81" s="751"/>
      <c r="I81" s="702"/>
      <c r="J81" s="747"/>
      <c r="K81" s="749"/>
      <c r="L81" s="749"/>
      <c r="M81" s="741"/>
      <c r="N81" s="713"/>
      <c r="O81" s="715"/>
      <c r="P81" s="650"/>
      <c r="Q81" s="652"/>
      <c r="R81" s="652"/>
      <c r="S81" s="663"/>
      <c r="T81" s="663"/>
      <c r="U81" s="663"/>
      <c r="V81" s="663"/>
      <c r="W81" s="606"/>
      <c r="X81" s="606"/>
      <c r="Y81" s="602"/>
      <c r="Z81" s="602"/>
      <c r="AA81" s="602"/>
      <c r="AB81" s="602"/>
      <c r="AC81" s="145">
        <f>(AA80+AB80)/2</f>
        <v>0</v>
      </c>
      <c r="AD81" s="602"/>
      <c r="AE81" s="602"/>
      <c r="AF81" s="602"/>
      <c r="AG81" s="602"/>
      <c r="AH81" s="604"/>
      <c r="AI81" s="604"/>
      <c r="AJ81" s="604"/>
      <c r="AK81" s="604"/>
      <c r="AL81" s="604"/>
      <c r="AM81" s="604"/>
      <c r="AN81" s="665"/>
      <c r="AO81" s="604"/>
      <c r="AP81" s="604"/>
      <c r="AQ81" s="604"/>
      <c r="AR81" s="604"/>
      <c r="AS81" s="809"/>
      <c r="AT81" s="809"/>
      <c r="AU81" s="604"/>
      <c r="AV81" s="604"/>
      <c r="AW81" s="604"/>
      <c r="AX81" s="604"/>
      <c r="AY81" s="606"/>
      <c r="AZ81" s="606"/>
      <c r="BA81" s="606"/>
      <c r="BB81" s="811"/>
      <c r="BC81" s="604"/>
      <c r="BD81" s="604"/>
      <c r="BE81" s="604"/>
      <c r="BF81" s="604"/>
      <c r="BG81" s="604"/>
      <c r="BH81" s="604"/>
      <c r="BI81" s="663"/>
      <c r="BJ81" s="604"/>
      <c r="BK81" s="604"/>
      <c r="BL81" s="809"/>
      <c r="BM81" s="663"/>
      <c r="BN81" s="663"/>
      <c r="BO81" s="663"/>
      <c r="BP81" s="663"/>
      <c r="BQ81" s="324">
        <f>IF($Q81&lt;$W$122,BM81,(BM81-((BM81/$Q81)*($Q81-$W$122))))</f>
        <v>0</v>
      </c>
      <c r="BR81" s="324">
        <f>IF($Q81&lt;$W$122,BN81,(BN81-((BN81/$Q81)*($Q81-$W$122))))</f>
        <v>0</v>
      </c>
      <c r="BS81" s="324">
        <f>IF($R81&lt;$X$122,BO81,(BO81-((BO81/$R81)*($R81-$X$122))))</f>
        <v>0</v>
      </c>
      <c r="BT81" s="324">
        <f>IF($R81&lt;$X$122,BP81,(BP81-((BP81/$R81)*($R81-$X$122))))</f>
        <v>0</v>
      </c>
      <c r="BU81" s="604"/>
      <c r="BV81" s="809"/>
      <c r="BW81" s="609"/>
      <c r="BX81" s="609"/>
      <c r="BY81" s="611"/>
      <c r="BZ81" s="609"/>
      <c r="CA81" s="609"/>
      <c r="CB81" s="611"/>
      <c r="CC81" s="609"/>
      <c r="CD81" s="609"/>
      <c r="CE81" s="611"/>
      <c r="CF81" s="609"/>
      <c r="CG81" s="609"/>
      <c r="CH81" s="611"/>
      <c r="CI81" s="41">
        <f>IF(Z80&gt;0,((BC80+PV($BY$2,$CB$2,-BF80,0,0))/Z80),0)</f>
        <v>0</v>
      </c>
      <c r="CJ81" s="41">
        <f>IF(Y80&gt;0,((BD80+PV($BY$2,$CB$2,-BG80,0,0))/Y80),0)</f>
        <v>0</v>
      </c>
      <c r="CK81" s="41">
        <f>IF(AE80&gt;0,((BC80+PV($BY$2,$CB$2,-BF80,0,0))/AE80),0)</f>
        <v>0</v>
      </c>
      <c r="CL81" s="41">
        <f>IF(AD80&gt;0,((BD80+PV($BY$2,$CB$2,-BG80,0,0))/AD80),0)</f>
        <v>0</v>
      </c>
      <c r="CM81" s="609"/>
      <c r="CN81" s="609"/>
      <c r="CO81" s="611"/>
      <c r="CP81" s="609"/>
      <c r="CQ81" s="609"/>
      <c r="CR81" s="611"/>
      <c r="CS81" s="609"/>
      <c r="CT81" s="609"/>
      <c r="CU81" s="611"/>
      <c r="CV81" s="609"/>
      <c r="CW81" s="609"/>
      <c r="CX81" s="611"/>
      <c r="CY81" s="807"/>
      <c r="CZ81" s="645"/>
      <c r="DA81" s="645"/>
      <c r="DB81" s="645"/>
      <c r="DC81" s="645"/>
      <c r="DD81" s="747"/>
      <c r="DE81" s="702"/>
      <c r="DF81" s="645"/>
      <c r="DG81" s="645"/>
      <c r="DH81" s="645"/>
      <c r="DI81" s="645"/>
      <c r="DJ81" s="749"/>
      <c r="DK81" s="749"/>
      <c r="DL81" s="749"/>
      <c r="DM81" s="749"/>
      <c r="DN81" s="749"/>
      <c r="DO81" s="518"/>
      <c r="DP81" s="518"/>
      <c r="DS81" s="747"/>
      <c r="DT81" s="105" t="s">
        <v>192</v>
      </c>
      <c r="DU81" s="28"/>
      <c r="DV81" s="28"/>
      <c r="DW81" s="28"/>
      <c r="DX81" s="28"/>
      <c r="DY81" s="28"/>
      <c r="DZ81" s="28"/>
      <c r="EA81" s="28"/>
      <c r="EB81" s="28"/>
    </row>
    <row r="82" spans="1:132" ht="98.25" customHeight="1" x14ac:dyDescent="0.2">
      <c r="A82" s="737" t="s">
        <v>193</v>
      </c>
      <c r="B82" s="777" t="s">
        <v>194</v>
      </c>
      <c r="C82" s="281"/>
      <c r="D82" s="281"/>
      <c r="E82" s="65" t="s">
        <v>195</v>
      </c>
      <c r="F82" s="272" t="s">
        <v>102</v>
      </c>
      <c r="G82" s="272" t="s">
        <v>103</v>
      </c>
      <c r="H82" s="285" t="s">
        <v>12</v>
      </c>
      <c r="I82" s="275" t="s">
        <v>527</v>
      </c>
      <c r="J82" s="65"/>
      <c r="K82" s="285"/>
      <c r="L82" s="272" t="s">
        <v>11</v>
      </c>
      <c r="M82" s="308">
        <v>330</v>
      </c>
      <c r="N82" s="713"/>
      <c r="O82" s="353"/>
      <c r="P82" s="303">
        <f t="shared" ref="P82:P89" si="246">M82/$P$2</f>
        <v>2.0625</v>
      </c>
      <c r="Q82" s="101">
        <f t="shared" ref="Q82:Q87" si="247">$T$123</f>
        <v>40</v>
      </c>
      <c r="R82" s="101">
        <f t="shared" ref="R82:R87" si="248">$U$123</f>
        <v>8</v>
      </c>
      <c r="S82" s="4">
        <v>0</v>
      </c>
      <c r="T82" s="4">
        <v>0</v>
      </c>
      <c r="U82" s="4">
        <v>0</v>
      </c>
      <c r="V82" s="4">
        <v>0</v>
      </c>
      <c r="W82" s="51"/>
      <c r="X82" s="51"/>
      <c r="Y82" s="4">
        <f t="shared" ref="Y82:Y89" si="249">((($Q82)*($S82/100))*(8.34*($M82/1000000)))*365</f>
        <v>0</v>
      </c>
      <c r="Z82" s="4">
        <f t="shared" ref="Z82:Z89" si="250">((($Q82)*($T82/100))*(8.34*($M82/1000000)))*365</f>
        <v>0</v>
      </c>
      <c r="AA82" s="99">
        <f t="shared" ref="AA82:AA99" si="251">Y82*0.4536</f>
        <v>0</v>
      </c>
      <c r="AB82" s="99">
        <f t="shared" ref="AB82:AB90" si="252">Z82*0.4536</f>
        <v>0</v>
      </c>
      <c r="AC82" s="99">
        <f>(AA82+AB82)/2</f>
        <v>0</v>
      </c>
      <c r="AD82" s="4">
        <f t="shared" ref="AD82:AD89" si="253">((($R82)*($U82/100))*(8.34*($M82/1000000)))*365</f>
        <v>0</v>
      </c>
      <c r="AE82" s="4">
        <f t="shared" ref="AE82:AE89" si="254">((($R82)*($V82/100))*(8.34*($M82/1000000)))*365</f>
        <v>0</v>
      </c>
      <c r="AF82" s="4">
        <f t="shared" ref="AF82:AF90" si="255">AD82*0.4536</f>
        <v>0</v>
      </c>
      <c r="AG82" s="4">
        <f t="shared" ref="AG82:AG90" si="256">AE82*0.4536</f>
        <v>0</v>
      </c>
      <c r="AH82" s="76">
        <v>0</v>
      </c>
      <c r="AI82" s="76">
        <v>0</v>
      </c>
      <c r="AJ82" s="76">
        <f t="shared" si="230"/>
        <v>0</v>
      </c>
      <c r="AK82" s="76">
        <f t="shared" ref="AK82:AM83" si="257">AH82*($AA$109/$AA$107)</f>
        <v>0</v>
      </c>
      <c r="AL82" s="76">
        <f t="shared" si="257"/>
        <v>0</v>
      </c>
      <c r="AM82" s="76">
        <f t="shared" si="257"/>
        <v>0</v>
      </c>
      <c r="AN82" s="104">
        <v>0.3</v>
      </c>
      <c r="AO82" s="104"/>
      <c r="AP82" s="76">
        <f t="shared" ref="AP82:AQ89" si="258">AK82*(1+$AN$2)</f>
        <v>0</v>
      </c>
      <c r="AQ82" s="76">
        <f t="shared" si="258"/>
        <v>0</v>
      </c>
      <c r="AR82" s="76">
        <f t="shared" si="53"/>
        <v>0</v>
      </c>
      <c r="AS82" s="76">
        <v>0</v>
      </c>
      <c r="AT82" s="76">
        <v>0</v>
      </c>
      <c r="AU82" s="76">
        <f t="shared" si="235"/>
        <v>0</v>
      </c>
      <c r="AV82" s="76">
        <f t="shared" ref="AV82:AX83" si="259">AS82*($AA$109/$AA$107)</f>
        <v>0</v>
      </c>
      <c r="AW82" s="76">
        <f t="shared" si="259"/>
        <v>0</v>
      </c>
      <c r="AX82" s="76">
        <f t="shared" si="259"/>
        <v>0</v>
      </c>
      <c r="AY82" s="51">
        <v>0</v>
      </c>
      <c r="AZ82" s="51">
        <v>0</v>
      </c>
      <c r="BA82" s="51">
        <v>0</v>
      </c>
      <c r="BB82" s="327"/>
      <c r="BC82" s="76">
        <f t="shared" si="242"/>
        <v>0</v>
      </c>
      <c r="BD82" s="76">
        <f t="shared" si="243"/>
        <v>0</v>
      </c>
      <c r="BE82" s="76">
        <f t="shared" si="42"/>
        <v>0</v>
      </c>
      <c r="BF82" s="76">
        <f t="shared" si="240"/>
        <v>0</v>
      </c>
      <c r="BG82" s="76">
        <f t="shared" si="241"/>
        <v>0</v>
      </c>
      <c r="BH82" s="76">
        <f t="shared" si="7"/>
        <v>0</v>
      </c>
      <c r="BI82" s="4">
        <v>0</v>
      </c>
      <c r="BJ82" s="76">
        <v>0</v>
      </c>
      <c r="BK82" s="76" t="e">
        <f t="shared" si="204"/>
        <v>#DIV/0!</v>
      </c>
      <c r="BL82" s="111" t="e">
        <f t="shared" ref="BL82:BL99" si="260">PV(((1+$BY$2)^BI82)-1,ROUNDUP($CB$2/BI82,0),-BJ82,0,0)</f>
        <v>#DIV/0!</v>
      </c>
      <c r="BM82" s="4">
        <f t="shared" ref="BM82:BM99" si="261">IF((($Y82+$Z82)&gt;0),((($Y82+$Z82)/2)*$CB$2),0)</f>
        <v>0</v>
      </c>
      <c r="BN82" s="4">
        <f t="shared" si="57"/>
        <v>0</v>
      </c>
      <c r="BO82" s="4">
        <f t="shared" ref="BO82:BO99" si="262">IF((($AD82+$AE82)&gt;0),((($AD82+$AE82)/2)*$CB$2),0)</f>
        <v>0</v>
      </c>
      <c r="BP82" s="4">
        <f t="shared" si="58"/>
        <v>0</v>
      </c>
      <c r="BQ82" s="4">
        <f t="shared" ref="BQ82:BQ89" si="263">IF((($Y82+$Z82)&gt;0),((($Y82+$Z82)/2)*$CB$2),0)</f>
        <v>0</v>
      </c>
      <c r="BR82" s="4">
        <f t="shared" ref="BR82:BR89" si="264">BQ82*0.4536</f>
        <v>0</v>
      </c>
      <c r="BS82" s="4">
        <f t="shared" ref="BS82:BS89" si="265">IF((($AD82+$AE82)&gt;0),((($AD82+$AE82)/2)*$CB$2),0)</f>
        <v>0</v>
      </c>
      <c r="BT82" s="4">
        <f t="shared" ref="BT82:BT89" si="266">BS82*0.4536</f>
        <v>0</v>
      </c>
      <c r="BU82" s="76">
        <f t="shared" ref="BU82:BU89" si="267">IF((Y82+Z82+AD82+AE82=0),(BE82+PV($BY$2,$CB$2,-BH82,0,0)),0)</f>
        <v>0</v>
      </c>
      <c r="BV82" s="111" t="s">
        <v>77</v>
      </c>
      <c r="BW82" s="88" t="s">
        <v>77</v>
      </c>
      <c r="BX82" s="88" t="s">
        <v>77</v>
      </c>
      <c r="BY82" s="89" t="s">
        <v>77</v>
      </c>
      <c r="BZ82" s="88" t="s">
        <v>77</v>
      </c>
      <c r="CA82" s="88" t="s">
        <v>77</v>
      </c>
      <c r="CB82" s="89" t="s">
        <v>77</v>
      </c>
      <c r="CC82" s="88" t="s">
        <v>77</v>
      </c>
      <c r="CD82" s="88" t="s">
        <v>77</v>
      </c>
      <c r="CE82" s="89" t="s">
        <v>77</v>
      </c>
      <c r="CF82" s="88" t="s">
        <v>77</v>
      </c>
      <c r="CG82" s="88" t="s">
        <v>77</v>
      </c>
      <c r="CH82" s="89" t="s">
        <v>77</v>
      </c>
      <c r="CI82" s="41">
        <f t="shared" ref="CI82:CI89" si="268">IF(Z82&gt;0,((BC82+PV($BY$2,$CB$2,-BF82,0,0))/Z82),0)</f>
        <v>0</v>
      </c>
      <c r="CJ82" s="41">
        <f t="shared" ref="CJ82:CJ89" si="269">IF(Y82&gt;0,((BD82+PV($BY$2,$CB$2,-BG82,0,0))/Y82),0)</f>
        <v>0</v>
      </c>
      <c r="CK82" s="41">
        <f t="shared" ref="CK82:CK89" si="270">IF(AE82&gt;0,((BC82+PV($BY$2,$CB$2,-BF82,0,0))/AE82),0)</f>
        <v>0</v>
      </c>
      <c r="CL82" s="41">
        <f t="shared" ref="CL82:CL89" si="271">IF(AD82&gt;0,((BD82+PV($BY$2,$CB$2,-BG82,0,0))/AD82),0)</f>
        <v>0</v>
      </c>
      <c r="CM82" s="88" t="s">
        <v>77</v>
      </c>
      <c r="CN82" s="88" t="s">
        <v>77</v>
      </c>
      <c r="CO82" s="89" t="s">
        <v>77</v>
      </c>
      <c r="CP82" s="88" t="s">
        <v>77</v>
      </c>
      <c r="CQ82" s="88" t="s">
        <v>77</v>
      </c>
      <c r="CR82" s="89" t="s">
        <v>77</v>
      </c>
      <c r="CS82" s="88" t="s">
        <v>77</v>
      </c>
      <c r="CT82" s="88" t="s">
        <v>77</v>
      </c>
      <c r="CU82" s="89" t="s">
        <v>77</v>
      </c>
      <c r="CV82" s="88" t="s">
        <v>77</v>
      </c>
      <c r="CW82" s="88" t="s">
        <v>77</v>
      </c>
      <c r="CX82" s="89" t="s">
        <v>77</v>
      </c>
      <c r="CY82" s="286" t="s">
        <v>311</v>
      </c>
      <c r="CZ82" s="285" t="s">
        <v>57</v>
      </c>
      <c r="DA82" s="285" t="s">
        <v>57</v>
      </c>
      <c r="DB82" s="285" t="s">
        <v>77</v>
      </c>
      <c r="DC82" s="285" t="s">
        <v>57</v>
      </c>
      <c r="DD82" s="65"/>
      <c r="DE82" s="65"/>
      <c r="DF82" s="285"/>
      <c r="DG82" s="285"/>
      <c r="DH82" s="285"/>
      <c r="DI82" s="285"/>
      <c r="DJ82" s="271"/>
      <c r="DK82" s="271"/>
      <c r="DL82" s="272"/>
      <c r="DM82" s="271"/>
      <c r="DN82" s="271"/>
      <c r="DO82" s="519"/>
      <c r="DP82" s="519"/>
      <c r="DS82" s="65"/>
      <c r="DT82" s="112"/>
      <c r="DU82" s="29"/>
      <c r="DV82" s="29"/>
      <c r="DW82" s="29"/>
      <c r="DX82" s="29"/>
      <c r="DY82" s="29"/>
      <c r="DZ82" s="29"/>
      <c r="EA82" s="29"/>
      <c r="EB82" s="29"/>
    </row>
    <row r="83" spans="1:132" ht="105.75" customHeight="1" x14ac:dyDescent="0.2">
      <c r="A83" s="737"/>
      <c r="B83" s="777"/>
      <c r="C83" s="281"/>
      <c r="D83" s="281"/>
      <c r="E83" s="65" t="s">
        <v>196</v>
      </c>
      <c r="F83" s="272" t="s">
        <v>102</v>
      </c>
      <c r="G83" s="272" t="s">
        <v>103</v>
      </c>
      <c r="H83" s="285" t="s">
        <v>12</v>
      </c>
      <c r="I83" s="275" t="s">
        <v>527</v>
      </c>
      <c r="J83" s="65"/>
      <c r="K83" s="285"/>
      <c r="L83" s="272" t="s">
        <v>11</v>
      </c>
      <c r="M83" s="308">
        <v>330</v>
      </c>
      <c r="N83" s="714"/>
      <c r="O83" s="354"/>
      <c r="P83" s="303">
        <f t="shared" si="246"/>
        <v>2.0625</v>
      </c>
      <c r="Q83" s="101">
        <f t="shared" si="247"/>
        <v>40</v>
      </c>
      <c r="R83" s="101">
        <f t="shared" si="248"/>
        <v>8</v>
      </c>
      <c r="S83" s="4">
        <v>70</v>
      </c>
      <c r="T83" s="4">
        <v>90</v>
      </c>
      <c r="U83" s="4">
        <v>70</v>
      </c>
      <c r="V83" s="4">
        <v>90</v>
      </c>
      <c r="W83" s="51"/>
      <c r="X83" s="51"/>
      <c r="Y83" s="4">
        <f t="shared" si="249"/>
        <v>28.127483999999999</v>
      </c>
      <c r="Z83" s="4">
        <f t="shared" si="250"/>
        <v>36.163907999999999</v>
      </c>
      <c r="AA83" s="99">
        <f t="shared" si="251"/>
        <v>12.758626742399999</v>
      </c>
      <c r="AB83" s="99">
        <f t="shared" si="252"/>
        <v>16.403948668799998</v>
      </c>
      <c r="AC83" s="99">
        <f>(AA83+AB83)/2</f>
        <v>14.581287705599998</v>
      </c>
      <c r="AD83" s="4">
        <f t="shared" si="253"/>
        <v>5.6254967999999996</v>
      </c>
      <c r="AE83" s="4">
        <f t="shared" si="254"/>
        <v>7.2327815999999991</v>
      </c>
      <c r="AF83" s="4">
        <f t="shared" si="255"/>
        <v>2.5517253484799998</v>
      </c>
      <c r="AG83" s="4">
        <f t="shared" si="256"/>
        <v>3.2807897337599998</v>
      </c>
      <c r="AH83" s="76">
        <v>1250</v>
      </c>
      <c r="AI83" s="76">
        <v>1500</v>
      </c>
      <c r="AJ83" s="76">
        <f t="shared" si="230"/>
        <v>1375</v>
      </c>
      <c r="AK83" s="76">
        <f t="shared" si="257"/>
        <v>1250</v>
      </c>
      <c r="AL83" s="76">
        <f t="shared" si="257"/>
        <v>1500</v>
      </c>
      <c r="AM83" s="76">
        <f t="shared" si="257"/>
        <v>1375</v>
      </c>
      <c r="AN83" s="104">
        <v>0.33</v>
      </c>
      <c r="AO83" s="104"/>
      <c r="AP83" s="76">
        <f t="shared" si="258"/>
        <v>1750</v>
      </c>
      <c r="AQ83" s="76">
        <f t="shared" si="258"/>
        <v>2100</v>
      </c>
      <c r="AR83" s="76">
        <f t="shared" si="53"/>
        <v>1925</v>
      </c>
      <c r="AS83" s="76">
        <v>500</v>
      </c>
      <c r="AT83" s="76">
        <v>600</v>
      </c>
      <c r="AU83" s="76">
        <f t="shared" si="235"/>
        <v>550</v>
      </c>
      <c r="AV83" s="76">
        <f t="shared" si="259"/>
        <v>500</v>
      </c>
      <c r="AW83" s="76">
        <f t="shared" si="259"/>
        <v>600</v>
      </c>
      <c r="AX83" s="76">
        <f t="shared" si="259"/>
        <v>550</v>
      </c>
      <c r="AY83" s="51">
        <v>0</v>
      </c>
      <c r="AZ83" s="51">
        <v>0</v>
      </c>
      <c r="BA83" s="51">
        <v>0</v>
      </c>
      <c r="BB83" s="327"/>
      <c r="BC83" s="76">
        <f t="shared" si="242"/>
        <v>1750</v>
      </c>
      <c r="BD83" s="76">
        <f t="shared" si="243"/>
        <v>2100</v>
      </c>
      <c r="BE83" s="76">
        <f t="shared" si="42"/>
        <v>1925</v>
      </c>
      <c r="BF83" s="76">
        <f t="shared" si="240"/>
        <v>500</v>
      </c>
      <c r="BG83" s="76">
        <f t="shared" si="241"/>
        <v>600</v>
      </c>
      <c r="BH83" s="76">
        <f t="shared" si="7"/>
        <v>550</v>
      </c>
      <c r="BI83" s="4">
        <v>0</v>
      </c>
      <c r="BJ83" s="76">
        <v>0</v>
      </c>
      <c r="BK83" s="76" t="e">
        <f t="shared" si="204"/>
        <v>#DIV/0!</v>
      </c>
      <c r="BL83" s="111" t="e">
        <f t="shared" si="260"/>
        <v>#DIV/0!</v>
      </c>
      <c r="BM83" s="4">
        <f t="shared" si="261"/>
        <v>642.91391999999996</v>
      </c>
      <c r="BN83" s="4">
        <f t="shared" si="57"/>
        <v>291.62575411199998</v>
      </c>
      <c r="BO83" s="4">
        <f t="shared" si="262"/>
        <v>128.582784</v>
      </c>
      <c r="BP83" s="4">
        <f t="shared" si="58"/>
        <v>58.325150822400005</v>
      </c>
      <c r="BQ83" s="4">
        <f t="shared" si="263"/>
        <v>642.91391999999996</v>
      </c>
      <c r="BR83" s="4">
        <f t="shared" si="264"/>
        <v>291.62575411199998</v>
      </c>
      <c r="BS83" s="4">
        <f t="shared" si="265"/>
        <v>128.582784</v>
      </c>
      <c r="BT83" s="4">
        <f t="shared" si="266"/>
        <v>58.325150822400005</v>
      </c>
      <c r="BU83" s="76">
        <f t="shared" si="267"/>
        <v>0</v>
      </c>
      <c r="BV83" s="111" t="s">
        <v>77</v>
      </c>
      <c r="BW83" s="88" t="s">
        <v>77</v>
      </c>
      <c r="BX83" s="88" t="s">
        <v>77</v>
      </c>
      <c r="BY83" s="89" t="s">
        <v>77</v>
      </c>
      <c r="BZ83" s="88" t="s">
        <v>77</v>
      </c>
      <c r="CA83" s="88" t="s">
        <v>77</v>
      </c>
      <c r="CB83" s="89" t="s">
        <v>77</v>
      </c>
      <c r="CC83" s="88" t="s">
        <v>77</v>
      </c>
      <c r="CD83" s="88" t="s">
        <v>77</v>
      </c>
      <c r="CE83" s="89" t="s">
        <v>77</v>
      </c>
      <c r="CF83" s="88" t="s">
        <v>77</v>
      </c>
      <c r="CG83" s="88" t="s">
        <v>77</v>
      </c>
      <c r="CH83" s="89" t="s">
        <v>77</v>
      </c>
      <c r="CI83" s="41">
        <f t="shared" si="268"/>
        <v>220.69255267627582</v>
      </c>
      <c r="CJ83" s="41">
        <f t="shared" si="269"/>
        <v>340.49708127196845</v>
      </c>
      <c r="CK83" s="41">
        <f t="shared" si="270"/>
        <v>1103.4627633813793</v>
      </c>
      <c r="CL83" s="41">
        <f t="shared" si="271"/>
        <v>1702.4854063598423</v>
      </c>
      <c r="CM83" s="88" t="s">
        <v>77</v>
      </c>
      <c r="CN83" s="88" t="s">
        <v>77</v>
      </c>
      <c r="CO83" s="89" t="s">
        <v>77</v>
      </c>
      <c r="CP83" s="88" t="s">
        <v>77</v>
      </c>
      <c r="CQ83" s="88" t="s">
        <v>77</v>
      </c>
      <c r="CR83" s="89" t="s">
        <v>77</v>
      </c>
      <c r="CS83" s="88" t="s">
        <v>77</v>
      </c>
      <c r="CT83" s="88" t="s">
        <v>77</v>
      </c>
      <c r="CU83" s="89" t="s">
        <v>77</v>
      </c>
      <c r="CV83" s="88" t="s">
        <v>77</v>
      </c>
      <c r="CW83" s="88" t="s">
        <v>77</v>
      </c>
      <c r="CX83" s="89" t="s">
        <v>77</v>
      </c>
      <c r="CY83" s="286" t="s">
        <v>311</v>
      </c>
      <c r="CZ83" s="285" t="s">
        <v>57</v>
      </c>
      <c r="DA83" s="285" t="s">
        <v>57</v>
      </c>
      <c r="DB83" s="285" t="s">
        <v>77</v>
      </c>
      <c r="DC83" s="285" t="s">
        <v>57</v>
      </c>
      <c r="DD83" s="65"/>
      <c r="DE83" s="65"/>
      <c r="DF83" s="285"/>
      <c r="DG83" s="285"/>
      <c r="DH83" s="285"/>
      <c r="DI83" s="285"/>
      <c r="DJ83" s="271"/>
      <c r="DK83" s="271"/>
      <c r="DL83" s="272"/>
      <c r="DM83" s="271"/>
      <c r="DN83" s="271"/>
      <c r="DO83" s="519"/>
      <c r="DP83" s="519"/>
      <c r="DS83" s="65"/>
      <c r="DT83" s="112"/>
      <c r="DU83" s="29"/>
      <c r="DV83" s="29"/>
      <c r="DW83" s="29"/>
      <c r="DX83" s="29"/>
      <c r="DY83" s="29"/>
      <c r="DZ83" s="29"/>
      <c r="EA83" s="29"/>
      <c r="EB83" s="29"/>
    </row>
    <row r="84" spans="1:132" ht="76.5" customHeight="1" x14ac:dyDescent="0.2">
      <c r="A84" s="737"/>
      <c r="B84" s="777"/>
      <c r="C84" s="281"/>
      <c r="D84" s="281"/>
      <c r="E84" s="65" t="s">
        <v>197</v>
      </c>
      <c r="F84" s="272" t="s">
        <v>102</v>
      </c>
      <c r="G84" s="272" t="s">
        <v>103</v>
      </c>
      <c r="H84" s="285" t="s">
        <v>12</v>
      </c>
      <c r="I84" s="275" t="s">
        <v>527</v>
      </c>
      <c r="J84" s="65"/>
      <c r="K84" s="285"/>
      <c r="L84" s="272" t="s">
        <v>11</v>
      </c>
      <c r="M84" s="308">
        <v>330</v>
      </c>
      <c r="N84" s="11" t="s">
        <v>77</v>
      </c>
      <c r="O84" s="304"/>
      <c r="P84" s="303">
        <f t="shared" si="246"/>
        <v>2.0625</v>
      </c>
      <c r="Q84" s="101">
        <f t="shared" si="247"/>
        <v>40</v>
      </c>
      <c r="R84" s="101">
        <f t="shared" si="248"/>
        <v>8</v>
      </c>
      <c r="S84" s="4">
        <v>90</v>
      </c>
      <c r="T84" s="4">
        <v>95</v>
      </c>
      <c r="U84" s="4">
        <v>90</v>
      </c>
      <c r="V84" s="4">
        <v>95</v>
      </c>
      <c r="W84" s="51"/>
      <c r="X84" s="51"/>
      <c r="Y84" s="4">
        <f t="shared" si="249"/>
        <v>36.163907999999999</v>
      </c>
      <c r="Z84" s="4">
        <f t="shared" si="250"/>
        <v>38.173014000000002</v>
      </c>
      <c r="AA84" s="99">
        <f t="shared" si="251"/>
        <v>16.403948668799998</v>
      </c>
      <c r="AB84" s="99">
        <f t="shared" si="252"/>
        <v>17.315279150400002</v>
      </c>
      <c r="AC84" s="99">
        <f>(AA84+AB84)/2</f>
        <v>16.8596139096</v>
      </c>
      <c r="AD84" s="4">
        <f t="shared" si="253"/>
        <v>7.2327815999999991</v>
      </c>
      <c r="AE84" s="4">
        <f t="shared" si="254"/>
        <v>7.6346027999999988</v>
      </c>
      <c r="AF84" s="4">
        <f t="shared" si="255"/>
        <v>3.2807897337599998</v>
      </c>
      <c r="AG84" s="4">
        <f t="shared" si="256"/>
        <v>3.4630558300799996</v>
      </c>
      <c r="AH84" s="76">
        <v>0</v>
      </c>
      <c r="AI84" s="76">
        <v>0</v>
      </c>
      <c r="AJ84" s="76">
        <f t="shared" si="230"/>
        <v>0</v>
      </c>
      <c r="AK84" s="76">
        <f t="shared" ref="AK84:AK99" si="272">AH84*($AA$109/$AA$107)</f>
        <v>0</v>
      </c>
      <c r="AL84" s="76">
        <f t="shared" ref="AL84:AL99" si="273">AI84*($AA$109/$AA$107)</f>
        <v>0</v>
      </c>
      <c r="AM84" s="76">
        <f t="shared" ref="AM84:AM99" si="274">AJ84*($AA$109/$AA$107)</f>
        <v>0</v>
      </c>
      <c r="AN84" s="104">
        <v>0.33</v>
      </c>
      <c r="AO84" s="104"/>
      <c r="AP84" s="76">
        <f t="shared" si="258"/>
        <v>0</v>
      </c>
      <c r="AQ84" s="76">
        <f t="shared" si="258"/>
        <v>0</v>
      </c>
      <c r="AR84" s="76">
        <f t="shared" si="53"/>
        <v>0</v>
      </c>
      <c r="AS84" s="76">
        <v>0</v>
      </c>
      <c r="AT84" s="76">
        <v>0</v>
      </c>
      <c r="AU84" s="76">
        <f t="shared" si="235"/>
        <v>0</v>
      </c>
      <c r="AV84" s="76">
        <f t="shared" ref="AV84:AV99" si="275">AS84*($AA$109/$AA$107)</f>
        <v>0</v>
      </c>
      <c r="AW84" s="76">
        <f t="shared" ref="AW84:AW99" si="276">AT84*($AA$109/$AA$107)</f>
        <v>0</v>
      </c>
      <c r="AX84" s="76">
        <f t="shared" ref="AX84:AX99" si="277">AU84*($AA$109/$AA$107)</f>
        <v>0</v>
      </c>
      <c r="AY84" s="51">
        <v>0</v>
      </c>
      <c r="AZ84" s="51">
        <v>0</v>
      </c>
      <c r="BA84" s="51">
        <v>0</v>
      </c>
      <c r="BB84" s="327"/>
      <c r="BC84" s="76">
        <f t="shared" si="242"/>
        <v>0</v>
      </c>
      <c r="BD84" s="76">
        <f t="shared" si="243"/>
        <v>0</v>
      </c>
      <c r="BE84" s="76">
        <f t="shared" si="42"/>
        <v>0</v>
      </c>
      <c r="BF84" s="76">
        <f t="shared" si="240"/>
        <v>0</v>
      </c>
      <c r="BG84" s="76">
        <f t="shared" si="241"/>
        <v>0</v>
      </c>
      <c r="BH84" s="76">
        <f t="shared" si="241"/>
        <v>0</v>
      </c>
      <c r="BI84" s="4">
        <v>0</v>
      </c>
      <c r="BJ84" s="76">
        <v>0</v>
      </c>
      <c r="BK84" s="76" t="e">
        <f t="shared" ref="BK84:BK99" si="278">IF(($CB$2/BI84)&gt;0,((($CB$2/BI84))*BJ84),0)</f>
        <v>#DIV/0!</v>
      </c>
      <c r="BL84" s="111" t="e">
        <f t="shared" si="260"/>
        <v>#DIV/0!</v>
      </c>
      <c r="BM84" s="4">
        <f t="shared" si="261"/>
        <v>743.36922000000004</v>
      </c>
      <c r="BN84" s="4">
        <f t="shared" si="57"/>
        <v>337.192278192</v>
      </c>
      <c r="BO84" s="4">
        <f t="shared" si="262"/>
        <v>148.67384399999997</v>
      </c>
      <c r="BP84" s="4">
        <f t="shared" si="58"/>
        <v>67.438455638399986</v>
      </c>
      <c r="BQ84" s="4">
        <f t="shared" si="263"/>
        <v>743.36922000000004</v>
      </c>
      <c r="BR84" s="4">
        <f t="shared" si="264"/>
        <v>337.192278192</v>
      </c>
      <c r="BS84" s="4">
        <f t="shared" si="265"/>
        <v>148.67384399999997</v>
      </c>
      <c r="BT84" s="4">
        <f t="shared" si="266"/>
        <v>67.438455638399986</v>
      </c>
      <c r="BU84" s="76">
        <f t="shared" si="267"/>
        <v>0</v>
      </c>
      <c r="BV84" s="111" t="s">
        <v>77</v>
      </c>
      <c r="BW84" s="88" t="s">
        <v>77</v>
      </c>
      <c r="BX84" s="88" t="s">
        <v>77</v>
      </c>
      <c r="BY84" s="89" t="s">
        <v>77</v>
      </c>
      <c r="BZ84" s="88" t="s">
        <v>77</v>
      </c>
      <c r="CA84" s="88" t="s">
        <v>77</v>
      </c>
      <c r="CB84" s="89" t="s">
        <v>77</v>
      </c>
      <c r="CC84" s="88" t="s">
        <v>77</v>
      </c>
      <c r="CD84" s="88" t="s">
        <v>77</v>
      </c>
      <c r="CE84" s="89" t="s">
        <v>77</v>
      </c>
      <c r="CF84" s="88" t="s">
        <v>77</v>
      </c>
      <c r="CG84" s="88" t="s">
        <v>77</v>
      </c>
      <c r="CH84" s="89" t="s">
        <v>77</v>
      </c>
      <c r="CI84" s="41">
        <f t="shared" si="268"/>
        <v>0</v>
      </c>
      <c r="CJ84" s="41">
        <f t="shared" si="269"/>
        <v>0</v>
      </c>
      <c r="CK84" s="41">
        <f t="shared" si="270"/>
        <v>0</v>
      </c>
      <c r="CL84" s="41">
        <f t="shared" si="271"/>
        <v>0</v>
      </c>
      <c r="CM84" s="88" t="s">
        <v>77</v>
      </c>
      <c r="CN84" s="88" t="s">
        <v>77</v>
      </c>
      <c r="CO84" s="89" t="s">
        <v>77</v>
      </c>
      <c r="CP84" s="88" t="s">
        <v>77</v>
      </c>
      <c r="CQ84" s="88" t="s">
        <v>77</v>
      </c>
      <c r="CR84" s="89" t="s">
        <v>77</v>
      </c>
      <c r="CS84" s="88" t="s">
        <v>77</v>
      </c>
      <c r="CT84" s="88" t="s">
        <v>77</v>
      </c>
      <c r="CU84" s="89" t="s">
        <v>77</v>
      </c>
      <c r="CV84" s="88" t="s">
        <v>77</v>
      </c>
      <c r="CW84" s="88" t="s">
        <v>77</v>
      </c>
      <c r="CX84" s="89" t="s">
        <v>77</v>
      </c>
      <c r="CY84" s="286" t="s">
        <v>311</v>
      </c>
      <c r="CZ84" s="285" t="s">
        <v>57</v>
      </c>
      <c r="DA84" s="285" t="s">
        <v>57</v>
      </c>
      <c r="DB84" s="285" t="s">
        <v>77</v>
      </c>
      <c r="DC84" s="285" t="s">
        <v>57</v>
      </c>
      <c r="DD84" s="65"/>
      <c r="DE84" s="65"/>
      <c r="DF84" s="285"/>
      <c r="DG84" s="285"/>
      <c r="DH84" s="285"/>
      <c r="DI84" s="285"/>
      <c r="DJ84" s="271"/>
      <c r="DK84" s="271"/>
      <c r="DL84" s="272"/>
      <c r="DM84" s="271"/>
      <c r="DN84" s="271"/>
      <c r="DO84" s="519"/>
      <c r="DP84" s="519"/>
      <c r="DS84" s="65"/>
      <c r="DT84" s="112"/>
      <c r="DU84" s="29"/>
      <c r="DV84" s="29"/>
      <c r="DW84" s="29"/>
      <c r="DX84" s="29"/>
      <c r="DY84" s="29"/>
      <c r="DZ84" s="29"/>
      <c r="EA84" s="29"/>
      <c r="EB84" s="29"/>
    </row>
    <row r="85" spans="1:132" ht="81.75" customHeight="1" x14ac:dyDescent="0.2">
      <c r="A85" s="737"/>
      <c r="B85" s="777"/>
      <c r="C85" s="281"/>
      <c r="D85" s="281"/>
      <c r="E85" s="65" t="s">
        <v>198</v>
      </c>
      <c r="F85" s="272" t="s">
        <v>102</v>
      </c>
      <c r="G85" s="272" t="s">
        <v>103</v>
      </c>
      <c r="H85" s="285" t="s">
        <v>12</v>
      </c>
      <c r="I85" s="275" t="s">
        <v>527</v>
      </c>
      <c r="J85" s="65"/>
      <c r="K85" s="285"/>
      <c r="L85" s="272" t="s">
        <v>11</v>
      </c>
      <c r="M85" s="308">
        <v>330</v>
      </c>
      <c r="N85" s="11" t="s">
        <v>77</v>
      </c>
      <c r="O85" s="304"/>
      <c r="P85" s="303">
        <f t="shared" si="246"/>
        <v>2.0625</v>
      </c>
      <c r="Q85" s="101">
        <f t="shared" si="247"/>
        <v>40</v>
      </c>
      <c r="R85" s="101">
        <f t="shared" si="248"/>
        <v>8</v>
      </c>
      <c r="S85" s="4">
        <v>70</v>
      </c>
      <c r="T85" s="4">
        <v>80</v>
      </c>
      <c r="U85" s="4">
        <v>70</v>
      </c>
      <c r="V85" s="4">
        <v>80</v>
      </c>
      <c r="W85" s="51"/>
      <c r="X85" s="51"/>
      <c r="Y85" s="4">
        <f t="shared" si="249"/>
        <v>28.127483999999999</v>
      </c>
      <c r="Z85" s="4">
        <f t="shared" si="250"/>
        <v>32.145696000000001</v>
      </c>
      <c r="AA85" s="99">
        <f t="shared" si="251"/>
        <v>12.758626742399999</v>
      </c>
      <c r="AB85" s="99">
        <f t="shared" si="252"/>
        <v>14.581287705600001</v>
      </c>
      <c r="AC85" s="99">
        <f t="shared" ref="AC85:AC90" si="279">(AA85+AB85)/2</f>
        <v>13.669957224000001</v>
      </c>
      <c r="AD85" s="4">
        <f t="shared" si="253"/>
        <v>5.6254967999999996</v>
      </c>
      <c r="AE85" s="4">
        <f t="shared" si="254"/>
        <v>6.4291391999999998</v>
      </c>
      <c r="AF85" s="4">
        <f t="shared" si="255"/>
        <v>2.5517253484799998</v>
      </c>
      <c r="AG85" s="4">
        <f t="shared" si="256"/>
        <v>2.9162575411199998</v>
      </c>
      <c r="AH85" s="76">
        <v>0</v>
      </c>
      <c r="AI85" s="76">
        <v>0</v>
      </c>
      <c r="AJ85" s="76">
        <f t="shared" si="230"/>
        <v>0</v>
      </c>
      <c r="AK85" s="76">
        <f t="shared" si="272"/>
        <v>0</v>
      </c>
      <c r="AL85" s="76">
        <f t="shared" si="273"/>
        <v>0</v>
      </c>
      <c r="AM85" s="76">
        <f t="shared" si="274"/>
        <v>0</v>
      </c>
      <c r="AN85" s="104" t="s">
        <v>283</v>
      </c>
      <c r="AO85" s="104"/>
      <c r="AP85" s="76">
        <f t="shared" si="258"/>
        <v>0</v>
      </c>
      <c r="AQ85" s="76">
        <f t="shared" si="258"/>
        <v>0</v>
      </c>
      <c r="AR85" s="76">
        <f t="shared" si="53"/>
        <v>0</v>
      </c>
      <c r="AS85" s="76">
        <v>0</v>
      </c>
      <c r="AT85" s="76">
        <v>0</v>
      </c>
      <c r="AU85" s="76">
        <f t="shared" si="235"/>
        <v>0</v>
      </c>
      <c r="AV85" s="76">
        <f t="shared" si="275"/>
        <v>0</v>
      </c>
      <c r="AW85" s="76">
        <f t="shared" si="276"/>
        <v>0</v>
      </c>
      <c r="AX85" s="76">
        <f t="shared" si="277"/>
        <v>0</v>
      </c>
      <c r="AY85" s="51">
        <v>0</v>
      </c>
      <c r="AZ85" s="51">
        <v>0</v>
      </c>
      <c r="BA85" s="51">
        <v>0</v>
      </c>
      <c r="BB85" s="327"/>
      <c r="BC85" s="76">
        <f t="shared" si="242"/>
        <v>0</v>
      </c>
      <c r="BD85" s="76">
        <f t="shared" si="243"/>
        <v>0</v>
      </c>
      <c r="BE85" s="76">
        <f t="shared" ref="BE85:BE99" si="280">AR85*(1+$AZ85)</f>
        <v>0</v>
      </c>
      <c r="BF85" s="76">
        <f t="shared" si="240"/>
        <v>0</v>
      </c>
      <c r="BG85" s="76">
        <f t="shared" si="241"/>
        <v>0</v>
      </c>
      <c r="BH85" s="76">
        <f t="shared" si="241"/>
        <v>0</v>
      </c>
      <c r="BI85" s="4">
        <v>0</v>
      </c>
      <c r="BJ85" s="76">
        <v>0</v>
      </c>
      <c r="BK85" s="76" t="e">
        <f t="shared" si="278"/>
        <v>#DIV/0!</v>
      </c>
      <c r="BL85" s="111" t="e">
        <f t="shared" si="260"/>
        <v>#DIV/0!</v>
      </c>
      <c r="BM85" s="4">
        <f t="shared" si="261"/>
        <v>602.73180000000002</v>
      </c>
      <c r="BN85" s="4">
        <f t="shared" si="57"/>
        <v>273.39914448000002</v>
      </c>
      <c r="BO85" s="4">
        <f t="shared" si="262"/>
        <v>120.54635999999999</v>
      </c>
      <c r="BP85" s="4">
        <f t="shared" si="58"/>
        <v>54.679828895999997</v>
      </c>
      <c r="BQ85" s="4">
        <f t="shared" si="263"/>
        <v>602.73180000000002</v>
      </c>
      <c r="BR85" s="4">
        <f t="shared" si="264"/>
        <v>273.39914448000002</v>
      </c>
      <c r="BS85" s="4">
        <f t="shared" si="265"/>
        <v>120.54635999999999</v>
      </c>
      <c r="BT85" s="4">
        <f t="shared" si="266"/>
        <v>54.679828895999997</v>
      </c>
      <c r="BU85" s="76">
        <f t="shared" si="267"/>
        <v>0</v>
      </c>
      <c r="BV85" s="111" t="s">
        <v>77</v>
      </c>
      <c r="BW85" s="88" t="s">
        <v>77</v>
      </c>
      <c r="BX85" s="88" t="s">
        <v>77</v>
      </c>
      <c r="BY85" s="89" t="s">
        <v>77</v>
      </c>
      <c r="BZ85" s="88" t="s">
        <v>77</v>
      </c>
      <c r="CA85" s="88" t="s">
        <v>77</v>
      </c>
      <c r="CB85" s="89" t="s">
        <v>77</v>
      </c>
      <c r="CC85" s="88" t="s">
        <v>77</v>
      </c>
      <c r="CD85" s="88" t="s">
        <v>77</v>
      </c>
      <c r="CE85" s="89" t="s">
        <v>77</v>
      </c>
      <c r="CF85" s="88" t="s">
        <v>77</v>
      </c>
      <c r="CG85" s="88" t="s">
        <v>77</v>
      </c>
      <c r="CH85" s="89" t="s">
        <v>77</v>
      </c>
      <c r="CI85" s="41">
        <f t="shared" si="268"/>
        <v>0</v>
      </c>
      <c r="CJ85" s="41">
        <f t="shared" si="269"/>
        <v>0</v>
      </c>
      <c r="CK85" s="41">
        <f t="shared" si="270"/>
        <v>0</v>
      </c>
      <c r="CL85" s="41">
        <f t="shared" si="271"/>
        <v>0</v>
      </c>
      <c r="CM85" s="88" t="s">
        <v>77</v>
      </c>
      <c r="CN85" s="88" t="s">
        <v>77</v>
      </c>
      <c r="CO85" s="89" t="s">
        <v>77</v>
      </c>
      <c r="CP85" s="88" t="s">
        <v>77</v>
      </c>
      <c r="CQ85" s="88" t="s">
        <v>77</v>
      </c>
      <c r="CR85" s="89" t="s">
        <v>77</v>
      </c>
      <c r="CS85" s="88" t="s">
        <v>77</v>
      </c>
      <c r="CT85" s="88" t="s">
        <v>77</v>
      </c>
      <c r="CU85" s="89" t="s">
        <v>77</v>
      </c>
      <c r="CV85" s="88" t="s">
        <v>77</v>
      </c>
      <c r="CW85" s="88" t="s">
        <v>77</v>
      </c>
      <c r="CX85" s="89" t="s">
        <v>77</v>
      </c>
      <c r="CY85" s="286" t="s">
        <v>311</v>
      </c>
      <c r="CZ85" s="285" t="s">
        <v>57</v>
      </c>
      <c r="DA85" s="285" t="s">
        <v>57</v>
      </c>
      <c r="DB85" s="285" t="s">
        <v>77</v>
      </c>
      <c r="DC85" s="285" t="s">
        <v>57</v>
      </c>
      <c r="DD85" s="65"/>
      <c r="DE85" s="65"/>
      <c r="DF85" s="285"/>
      <c r="DG85" s="285"/>
      <c r="DH85" s="285"/>
      <c r="DI85" s="285"/>
      <c r="DJ85" s="271"/>
      <c r="DK85" s="271"/>
      <c r="DL85" s="272"/>
      <c r="DM85" s="271"/>
      <c r="DN85" s="271"/>
      <c r="DO85" s="519"/>
      <c r="DP85" s="519"/>
      <c r="DS85" s="65" t="s">
        <v>199</v>
      </c>
      <c r="DT85" s="112"/>
      <c r="DU85" s="29"/>
      <c r="DV85" s="29"/>
      <c r="DW85" s="29"/>
      <c r="DX85" s="29"/>
      <c r="DY85" s="29"/>
      <c r="DZ85" s="29"/>
      <c r="EA85" s="29"/>
      <c r="EB85" s="29"/>
    </row>
    <row r="86" spans="1:132" ht="153" customHeight="1" x14ac:dyDescent="0.2">
      <c r="A86" s="737"/>
      <c r="B86" s="66" t="s">
        <v>200</v>
      </c>
      <c r="C86" s="66"/>
      <c r="D86" s="281"/>
      <c r="E86" s="65" t="s">
        <v>201</v>
      </c>
      <c r="F86" s="272" t="s">
        <v>102</v>
      </c>
      <c r="G86" s="272" t="s">
        <v>103</v>
      </c>
      <c r="H86" s="285" t="s">
        <v>12</v>
      </c>
      <c r="I86" s="275" t="s">
        <v>527</v>
      </c>
      <c r="J86" s="65"/>
      <c r="K86" s="285"/>
      <c r="L86" s="272" t="s">
        <v>11</v>
      </c>
      <c r="M86" s="308">
        <v>330</v>
      </c>
      <c r="N86" s="11" t="s">
        <v>77</v>
      </c>
      <c r="O86" s="304"/>
      <c r="P86" s="303">
        <f t="shared" si="246"/>
        <v>2.0625</v>
      </c>
      <c r="Q86" s="101">
        <f t="shared" si="247"/>
        <v>40</v>
      </c>
      <c r="R86" s="101">
        <f t="shared" si="248"/>
        <v>8</v>
      </c>
      <c r="S86" s="4">
        <v>30</v>
      </c>
      <c r="T86" s="4">
        <v>80</v>
      </c>
      <c r="U86" s="4">
        <v>70</v>
      </c>
      <c r="V86" s="4">
        <v>95</v>
      </c>
      <c r="W86" s="51"/>
      <c r="X86" s="51"/>
      <c r="Y86" s="4">
        <f t="shared" si="249"/>
        <v>12.054635999999999</v>
      </c>
      <c r="Z86" s="4">
        <f t="shared" si="250"/>
        <v>32.145696000000001</v>
      </c>
      <c r="AA86" s="99">
        <f t="shared" si="251"/>
        <v>5.4679828895999991</v>
      </c>
      <c r="AB86" s="99">
        <f t="shared" si="252"/>
        <v>14.581287705600001</v>
      </c>
      <c r="AC86" s="99">
        <f t="shared" si="279"/>
        <v>10.0246352976</v>
      </c>
      <c r="AD86" s="4">
        <f t="shared" si="253"/>
        <v>5.6254967999999996</v>
      </c>
      <c r="AE86" s="4">
        <f t="shared" si="254"/>
        <v>7.6346027999999988</v>
      </c>
      <c r="AF86" s="4">
        <f t="shared" si="255"/>
        <v>2.5517253484799998</v>
      </c>
      <c r="AG86" s="4">
        <f t="shared" si="256"/>
        <v>3.4630558300799996</v>
      </c>
      <c r="AH86" s="76">
        <v>0</v>
      </c>
      <c r="AI86" s="76">
        <v>0</v>
      </c>
      <c r="AJ86" s="76">
        <f t="shared" si="230"/>
        <v>0</v>
      </c>
      <c r="AK86" s="76">
        <f t="shared" si="272"/>
        <v>0</v>
      </c>
      <c r="AL86" s="76">
        <f t="shared" si="273"/>
        <v>0</v>
      </c>
      <c r="AM86" s="76">
        <f t="shared" si="274"/>
        <v>0</v>
      </c>
      <c r="AN86" s="104">
        <v>0.4</v>
      </c>
      <c r="AO86" s="104"/>
      <c r="AP86" s="76">
        <f t="shared" si="258"/>
        <v>0</v>
      </c>
      <c r="AQ86" s="76">
        <f t="shared" si="258"/>
        <v>0</v>
      </c>
      <c r="AR86" s="76">
        <f t="shared" si="53"/>
        <v>0</v>
      </c>
      <c r="AS86" s="76">
        <v>0</v>
      </c>
      <c r="AT86" s="76">
        <v>0</v>
      </c>
      <c r="AU86" s="76">
        <f t="shared" si="235"/>
        <v>0</v>
      </c>
      <c r="AV86" s="76">
        <f t="shared" si="275"/>
        <v>0</v>
      </c>
      <c r="AW86" s="76">
        <f t="shared" si="276"/>
        <v>0</v>
      </c>
      <c r="AX86" s="76">
        <f t="shared" si="277"/>
        <v>0</v>
      </c>
      <c r="AY86" s="51">
        <v>0</v>
      </c>
      <c r="AZ86" s="51">
        <v>0</v>
      </c>
      <c r="BA86" s="51">
        <v>0</v>
      </c>
      <c r="BB86" s="327"/>
      <c r="BC86" s="76">
        <f t="shared" si="242"/>
        <v>0</v>
      </c>
      <c r="BD86" s="76">
        <f t="shared" si="243"/>
        <v>0</v>
      </c>
      <c r="BE86" s="76">
        <f t="shared" si="280"/>
        <v>0</v>
      </c>
      <c r="BF86" s="76">
        <f t="shared" si="240"/>
        <v>0</v>
      </c>
      <c r="BG86" s="76">
        <f t="shared" si="241"/>
        <v>0</v>
      </c>
      <c r="BH86" s="76">
        <f t="shared" si="241"/>
        <v>0</v>
      </c>
      <c r="BI86" s="4">
        <v>0</v>
      </c>
      <c r="BJ86" s="76">
        <v>0</v>
      </c>
      <c r="BK86" s="76" t="e">
        <f t="shared" si="278"/>
        <v>#DIV/0!</v>
      </c>
      <c r="BL86" s="111" t="e">
        <f t="shared" si="260"/>
        <v>#DIV/0!</v>
      </c>
      <c r="BM86" s="4">
        <f t="shared" si="261"/>
        <v>442.00332000000003</v>
      </c>
      <c r="BN86" s="4">
        <f t="shared" si="57"/>
        <v>200.49270595200002</v>
      </c>
      <c r="BO86" s="4">
        <f t="shared" si="262"/>
        <v>132.60099599999998</v>
      </c>
      <c r="BP86" s="4">
        <f t="shared" si="58"/>
        <v>60.147811785599991</v>
      </c>
      <c r="BQ86" s="4">
        <f t="shared" si="263"/>
        <v>442.00332000000003</v>
      </c>
      <c r="BR86" s="4">
        <f t="shared" si="264"/>
        <v>200.49270595200002</v>
      </c>
      <c r="BS86" s="4">
        <f t="shared" si="265"/>
        <v>132.60099599999998</v>
      </c>
      <c r="BT86" s="4">
        <f t="shared" si="266"/>
        <v>60.147811785599991</v>
      </c>
      <c r="BU86" s="76">
        <f t="shared" si="267"/>
        <v>0</v>
      </c>
      <c r="BV86" s="111" t="s">
        <v>77</v>
      </c>
      <c r="BW86" s="88" t="s">
        <v>77</v>
      </c>
      <c r="BX86" s="88" t="s">
        <v>77</v>
      </c>
      <c r="BY86" s="89" t="s">
        <v>77</v>
      </c>
      <c r="BZ86" s="88" t="s">
        <v>77</v>
      </c>
      <c r="CA86" s="88" t="s">
        <v>77</v>
      </c>
      <c r="CB86" s="89" t="s">
        <v>77</v>
      </c>
      <c r="CC86" s="88" t="s">
        <v>77</v>
      </c>
      <c r="CD86" s="88" t="s">
        <v>77</v>
      </c>
      <c r="CE86" s="89" t="s">
        <v>77</v>
      </c>
      <c r="CF86" s="88" t="s">
        <v>77</v>
      </c>
      <c r="CG86" s="88" t="s">
        <v>77</v>
      </c>
      <c r="CH86" s="89" t="s">
        <v>77</v>
      </c>
      <c r="CI86" s="41">
        <f t="shared" si="268"/>
        <v>0</v>
      </c>
      <c r="CJ86" s="41">
        <f t="shared" si="269"/>
        <v>0</v>
      </c>
      <c r="CK86" s="41">
        <f t="shared" si="270"/>
        <v>0</v>
      </c>
      <c r="CL86" s="41">
        <f t="shared" si="271"/>
        <v>0</v>
      </c>
      <c r="CM86" s="88" t="s">
        <v>77</v>
      </c>
      <c r="CN86" s="88" t="s">
        <v>77</v>
      </c>
      <c r="CO86" s="89" t="s">
        <v>77</v>
      </c>
      <c r="CP86" s="88" t="s">
        <v>77</v>
      </c>
      <c r="CQ86" s="88" t="s">
        <v>77</v>
      </c>
      <c r="CR86" s="89" t="s">
        <v>77</v>
      </c>
      <c r="CS86" s="88" t="s">
        <v>77</v>
      </c>
      <c r="CT86" s="88" t="s">
        <v>77</v>
      </c>
      <c r="CU86" s="89" t="s">
        <v>77</v>
      </c>
      <c r="CV86" s="88" t="s">
        <v>77</v>
      </c>
      <c r="CW86" s="88" t="s">
        <v>77</v>
      </c>
      <c r="CX86" s="89" t="s">
        <v>77</v>
      </c>
      <c r="CY86" s="286" t="s">
        <v>308</v>
      </c>
      <c r="CZ86" s="285" t="s">
        <v>56</v>
      </c>
      <c r="DA86" s="285" t="s">
        <v>57</v>
      </c>
      <c r="DB86" s="285" t="s">
        <v>77</v>
      </c>
      <c r="DC86" s="285" t="s">
        <v>57</v>
      </c>
      <c r="DD86" s="65"/>
      <c r="DE86" s="65"/>
      <c r="DF86" s="285"/>
      <c r="DG86" s="285"/>
      <c r="DH86" s="285"/>
      <c r="DI86" s="285"/>
      <c r="DJ86" s="271"/>
      <c r="DK86" s="271"/>
      <c r="DL86" s="272"/>
      <c r="DM86" s="271"/>
      <c r="DN86" s="271"/>
      <c r="DO86" s="519"/>
      <c r="DP86" s="519"/>
      <c r="DS86" s="65" t="s">
        <v>202</v>
      </c>
      <c r="DT86" s="112"/>
      <c r="DU86" s="29"/>
      <c r="DV86" s="29"/>
      <c r="DW86" s="29"/>
      <c r="DX86" s="29"/>
      <c r="DY86" s="29"/>
      <c r="DZ86" s="29"/>
      <c r="EA86" s="29"/>
      <c r="EB86" s="29"/>
    </row>
    <row r="87" spans="1:132" ht="216.75" customHeight="1" x14ac:dyDescent="0.2">
      <c r="A87" s="737"/>
      <c r="B87" s="67" t="s">
        <v>203</v>
      </c>
      <c r="C87" s="67"/>
      <c r="D87" s="281"/>
      <c r="E87" s="65" t="s">
        <v>204</v>
      </c>
      <c r="F87" s="285" t="s">
        <v>205</v>
      </c>
      <c r="G87" s="285" t="s">
        <v>206</v>
      </c>
      <c r="H87" s="285" t="s">
        <v>210</v>
      </c>
      <c r="I87" s="275" t="s">
        <v>527</v>
      </c>
      <c r="J87" s="65"/>
      <c r="K87" s="285"/>
      <c r="L87" s="272" t="s">
        <v>11</v>
      </c>
      <c r="M87" s="308">
        <v>330</v>
      </c>
      <c r="N87" s="11" t="s">
        <v>77</v>
      </c>
      <c r="O87" s="304"/>
      <c r="P87" s="303">
        <f t="shared" si="246"/>
        <v>2.0625</v>
      </c>
      <c r="Q87" s="101">
        <f t="shared" si="247"/>
        <v>40</v>
      </c>
      <c r="R87" s="101">
        <f t="shared" si="248"/>
        <v>8</v>
      </c>
      <c r="S87" s="4">
        <v>0</v>
      </c>
      <c r="T87" s="4">
        <v>0</v>
      </c>
      <c r="U87" s="4">
        <v>0</v>
      </c>
      <c r="V87" s="4">
        <v>0</v>
      </c>
      <c r="W87" s="51"/>
      <c r="X87" s="51"/>
      <c r="Y87" s="4">
        <f t="shared" si="249"/>
        <v>0</v>
      </c>
      <c r="Z87" s="4">
        <f t="shared" si="250"/>
        <v>0</v>
      </c>
      <c r="AA87" s="99">
        <f t="shared" si="251"/>
        <v>0</v>
      </c>
      <c r="AB87" s="99">
        <f t="shared" si="252"/>
        <v>0</v>
      </c>
      <c r="AC87" s="99">
        <f t="shared" si="279"/>
        <v>0</v>
      </c>
      <c r="AD87" s="4">
        <f t="shared" si="253"/>
        <v>0</v>
      </c>
      <c r="AE87" s="4">
        <f t="shared" si="254"/>
        <v>0</v>
      </c>
      <c r="AF87" s="4">
        <f t="shared" si="255"/>
        <v>0</v>
      </c>
      <c r="AG87" s="4">
        <f t="shared" si="256"/>
        <v>0</v>
      </c>
      <c r="AH87" s="76">
        <v>0</v>
      </c>
      <c r="AI87" s="76">
        <v>0</v>
      </c>
      <c r="AJ87" s="76">
        <f t="shared" si="230"/>
        <v>0</v>
      </c>
      <c r="AK87" s="76">
        <f t="shared" si="272"/>
        <v>0</v>
      </c>
      <c r="AL87" s="76">
        <f t="shared" si="273"/>
        <v>0</v>
      </c>
      <c r="AM87" s="76">
        <f t="shared" si="274"/>
        <v>0</v>
      </c>
      <c r="AN87" s="104">
        <v>0.4</v>
      </c>
      <c r="AO87" s="104"/>
      <c r="AP87" s="76">
        <f t="shared" si="258"/>
        <v>0</v>
      </c>
      <c r="AQ87" s="76">
        <f t="shared" si="258"/>
        <v>0</v>
      </c>
      <c r="AR87" s="76">
        <f t="shared" si="53"/>
        <v>0</v>
      </c>
      <c r="AS87" s="76">
        <v>0</v>
      </c>
      <c r="AT87" s="76">
        <v>0</v>
      </c>
      <c r="AU87" s="76">
        <f t="shared" si="235"/>
        <v>0</v>
      </c>
      <c r="AV87" s="76">
        <f t="shared" si="275"/>
        <v>0</v>
      </c>
      <c r="AW87" s="76">
        <f t="shared" si="276"/>
        <v>0</v>
      </c>
      <c r="AX87" s="76">
        <f t="shared" si="277"/>
        <v>0</v>
      </c>
      <c r="AY87" s="51">
        <v>0</v>
      </c>
      <c r="AZ87" s="51">
        <v>0</v>
      </c>
      <c r="BA87" s="51">
        <v>0</v>
      </c>
      <c r="BB87" s="327"/>
      <c r="BC87" s="76">
        <f t="shared" si="242"/>
        <v>0</v>
      </c>
      <c r="BD87" s="76">
        <f t="shared" si="243"/>
        <v>0</v>
      </c>
      <c r="BE87" s="76">
        <f t="shared" si="280"/>
        <v>0</v>
      </c>
      <c r="BF87" s="76">
        <f t="shared" si="240"/>
        <v>0</v>
      </c>
      <c r="BG87" s="76">
        <f t="shared" si="241"/>
        <v>0</v>
      </c>
      <c r="BH87" s="76">
        <f t="shared" si="241"/>
        <v>0</v>
      </c>
      <c r="BI87" s="4">
        <v>0</v>
      </c>
      <c r="BJ87" s="76">
        <v>0</v>
      </c>
      <c r="BK87" s="76" t="e">
        <f t="shared" si="278"/>
        <v>#DIV/0!</v>
      </c>
      <c r="BL87" s="111" t="e">
        <f t="shared" si="260"/>
        <v>#DIV/0!</v>
      </c>
      <c r="BM87" s="4">
        <f t="shared" si="261"/>
        <v>0</v>
      </c>
      <c r="BN87" s="4">
        <f t="shared" si="57"/>
        <v>0</v>
      </c>
      <c r="BO87" s="4">
        <f t="shared" si="262"/>
        <v>0</v>
      </c>
      <c r="BP87" s="4">
        <f t="shared" si="58"/>
        <v>0</v>
      </c>
      <c r="BQ87" s="4">
        <f t="shared" si="263"/>
        <v>0</v>
      </c>
      <c r="BR87" s="4">
        <f t="shared" si="264"/>
        <v>0</v>
      </c>
      <c r="BS87" s="4">
        <f t="shared" si="265"/>
        <v>0</v>
      </c>
      <c r="BT87" s="4">
        <f t="shared" si="266"/>
        <v>0</v>
      </c>
      <c r="BU87" s="76">
        <f t="shared" si="267"/>
        <v>0</v>
      </c>
      <c r="BV87" s="111" t="s">
        <v>77</v>
      </c>
      <c r="BW87" s="88" t="s">
        <v>77</v>
      </c>
      <c r="BX87" s="88" t="s">
        <v>77</v>
      </c>
      <c r="BY87" s="89" t="s">
        <v>77</v>
      </c>
      <c r="BZ87" s="88" t="s">
        <v>77</v>
      </c>
      <c r="CA87" s="88" t="s">
        <v>77</v>
      </c>
      <c r="CB87" s="89" t="s">
        <v>77</v>
      </c>
      <c r="CC87" s="88" t="s">
        <v>77</v>
      </c>
      <c r="CD87" s="88" t="s">
        <v>77</v>
      </c>
      <c r="CE87" s="89" t="s">
        <v>77</v>
      </c>
      <c r="CF87" s="88" t="s">
        <v>77</v>
      </c>
      <c r="CG87" s="88" t="s">
        <v>77</v>
      </c>
      <c r="CH87" s="89" t="s">
        <v>77</v>
      </c>
      <c r="CI87" s="41">
        <f t="shared" si="268"/>
        <v>0</v>
      </c>
      <c r="CJ87" s="41">
        <f t="shared" si="269"/>
        <v>0</v>
      </c>
      <c r="CK87" s="41">
        <f t="shared" si="270"/>
        <v>0</v>
      </c>
      <c r="CL87" s="41">
        <f t="shared" si="271"/>
        <v>0</v>
      </c>
      <c r="CM87" s="88" t="s">
        <v>77</v>
      </c>
      <c r="CN87" s="88" t="s">
        <v>77</v>
      </c>
      <c r="CO87" s="89" t="s">
        <v>77</v>
      </c>
      <c r="CP87" s="88" t="s">
        <v>77</v>
      </c>
      <c r="CQ87" s="88" t="s">
        <v>77</v>
      </c>
      <c r="CR87" s="89" t="s">
        <v>77</v>
      </c>
      <c r="CS87" s="88" t="s">
        <v>77</v>
      </c>
      <c r="CT87" s="88" t="s">
        <v>77</v>
      </c>
      <c r="CU87" s="89" t="s">
        <v>77</v>
      </c>
      <c r="CV87" s="88" t="s">
        <v>77</v>
      </c>
      <c r="CW87" s="88" t="s">
        <v>77</v>
      </c>
      <c r="CX87" s="89" t="s">
        <v>77</v>
      </c>
      <c r="CY87" s="286" t="s">
        <v>311</v>
      </c>
      <c r="CZ87" s="285" t="s">
        <v>56</v>
      </c>
      <c r="DA87" s="285" t="s">
        <v>57</v>
      </c>
      <c r="DB87" s="285" t="s">
        <v>77</v>
      </c>
      <c r="DC87" s="285" t="s">
        <v>57</v>
      </c>
      <c r="DD87" s="65" t="s">
        <v>286</v>
      </c>
      <c r="DE87" s="65" t="s">
        <v>285</v>
      </c>
      <c r="DF87" s="285"/>
      <c r="DG87" s="285"/>
      <c r="DH87" s="285"/>
      <c r="DI87" s="285"/>
      <c r="DJ87" s="271"/>
      <c r="DK87" s="271"/>
      <c r="DL87" s="272"/>
      <c r="DM87" s="271"/>
      <c r="DN87" s="271"/>
      <c r="DO87" s="519"/>
      <c r="DP87" s="519"/>
      <c r="DS87" s="65"/>
      <c r="DT87" s="112"/>
      <c r="DU87" s="29"/>
      <c r="DV87" s="29"/>
      <c r="DW87" s="29"/>
      <c r="DX87" s="29"/>
      <c r="DY87" s="29"/>
      <c r="DZ87" s="29"/>
      <c r="EA87" s="29"/>
      <c r="EB87" s="29"/>
    </row>
    <row r="88" spans="1:132" ht="178.5" customHeight="1" x14ac:dyDescent="0.2">
      <c r="A88" s="775" t="s">
        <v>207</v>
      </c>
      <c r="B88" s="68" t="s">
        <v>208</v>
      </c>
      <c r="C88" s="68"/>
      <c r="D88" s="236"/>
      <c r="E88" s="65" t="s">
        <v>209</v>
      </c>
      <c r="F88" s="285" t="s">
        <v>77</v>
      </c>
      <c r="G88" s="285" t="s">
        <v>77</v>
      </c>
      <c r="H88" s="285" t="s">
        <v>210</v>
      </c>
      <c r="I88" s="275" t="s">
        <v>527</v>
      </c>
      <c r="J88" s="65" t="s">
        <v>211</v>
      </c>
      <c r="K88" s="285"/>
      <c r="L88" s="272" t="s">
        <v>11</v>
      </c>
      <c r="M88" s="308">
        <v>0</v>
      </c>
      <c r="N88" s="11" t="s">
        <v>77</v>
      </c>
      <c r="O88" s="304"/>
      <c r="P88" s="303">
        <f t="shared" si="246"/>
        <v>0</v>
      </c>
      <c r="Q88" s="101">
        <v>0</v>
      </c>
      <c r="R88" s="101">
        <v>0</v>
      </c>
      <c r="S88" s="4">
        <v>0</v>
      </c>
      <c r="T88" s="4">
        <v>0</v>
      </c>
      <c r="U88" s="4">
        <v>0</v>
      </c>
      <c r="V88" s="4">
        <v>0</v>
      </c>
      <c r="W88" s="51"/>
      <c r="X88" s="51"/>
      <c r="Y88" s="4">
        <f t="shared" si="249"/>
        <v>0</v>
      </c>
      <c r="Z88" s="4">
        <f t="shared" si="250"/>
        <v>0</v>
      </c>
      <c r="AA88" s="99">
        <f t="shared" si="251"/>
        <v>0</v>
      </c>
      <c r="AB88" s="99">
        <f t="shared" si="252"/>
        <v>0</v>
      </c>
      <c r="AC88" s="99">
        <f t="shared" si="279"/>
        <v>0</v>
      </c>
      <c r="AD88" s="4">
        <f t="shared" si="253"/>
        <v>0</v>
      </c>
      <c r="AE88" s="4">
        <f t="shared" si="254"/>
        <v>0</v>
      </c>
      <c r="AF88" s="4">
        <f t="shared" si="255"/>
        <v>0</v>
      </c>
      <c r="AG88" s="4">
        <f t="shared" si="256"/>
        <v>0</v>
      </c>
      <c r="AH88" s="76">
        <v>0</v>
      </c>
      <c r="AI88" s="76">
        <v>0</v>
      </c>
      <c r="AJ88" s="76">
        <f t="shared" si="230"/>
        <v>0</v>
      </c>
      <c r="AK88" s="76">
        <f t="shared" si="272"/>
        <v>0</v>
      </c>
      <c r="AL88" s="76">
        <f t="shared" si="273"/>
        <v>0</v>
      </c>
      <c r="AM88" s="76">
        <f t="shared" si="274"/>
        <v>0</v>
      </c>
      <c r="AN88" s="104">
        <v>0</v>
      </c>
      <c r="AO88" s="104"/>
      <c r="AP88" s="76">
        <f t="shared" si="258"/>
        <v>0</v>
      </c>
      <c r="AQ88" s="76">
        <f t="shared" si="258"/>
        <v>0</v>
      </c>
      <c r="AR88" s="76">
        <f t="shared" ref="AR88:AR99" si="281">(AP88+AQ88)/2</f>
        <v>0</v>
      </c>
      <c r="AS88" s="76">
        <v>0</v>
      </c>
      <c r="AT88" s="76">
        <v>0</v>
      </c>
      <c r="AU88" s="76">
        <f t="shared" si="235"/>
        <v>0</v>
      </c>
      <c r="AV88" s="76">
        <f t="shared" si="275"/>
        <v>0</v>
      </c>
      <c r="AW88" s="76">
        <f t="shared" si="276"/>
        <v>0</v>
      </c>
      <c r="AX88" s="76">
        <f t="shared" si="277"/>
        <v>0</v>
      </c>
      <c r="AY88" s="51">
        <v>0</v>
      </c>
      <c r="AZ88" s="51">
        <v>0</v>
      </c>
      <c r="BA88" s="51">
        <v>0</v>
      </c>
      <c r="BB88" s="327"/>
      <c r="BC88" s="76">
        <f t="shared" si="242"/>
        <v>0</v>
      </c>
      <c r="BD88" s="76">
        <f t="shared" si="243"/>
        <v>0</v>
      </c>
      <c r="BE88" s="76">
        <f t="shared" si="280"/>
        <v>0</v>
      </c>
      <c r="BF88" s="76">
        <f t="shared" si="240"/>
        <v>0</v>
      </c>
      <c r="BG88" s="76">
        <f t="shared" si="241"/>
        <v>0</v>
      </c>
      <c r="BH88" s="76">
        <f t="shared" si="241"/>
        <v>0</v>
      </c>
      <c r="BI88" s="4">
        <v>0</v>
      </c>
      <c r="BJ88" s="76">
        <v>0</v>
      </c>
      <c r="BK88" s="76" t="e">
        <f t="shared" si="278"/>
        <v>#DIV/0!</v>
      </c>
      <c r="BL88" s="111" t="e">
        <f t="shared" si="260"/>
        <v>#DIV/0!</v>
      </c>
      <c r="BM88" s="4">
        <f t="shared" si="261"/>
        <v>0</v>
      </c>
      <c r="BN88" s="4">
        <f t="shared" ref="BN88:BN99" si="282">BM88*0.4536</f>
        <v>0</v>
      </c>
      <c r="BO88" s="4">
        <f t="shared" si="262"/>
        <v>0</v>
      </c>
      <c r="BP88" s="4">
        <f t="shared" ref="BP88:BP99" si="283">BO88*0.4536</f>
        <v>0</v>
      </c>
      <c r="BQ88" s="4">
        <f t="shared" si="263"/>
        <v>0</v>
      </c>
      <c r="BR88" s="4">
        <f t="shared" si="264"/>
        <v>0</v>
      </c>
      <c r="BS88" s="4">
        <f t="shared" si="265"/>
        <v>0</v>
      </c>
      <c r="BT88" s="4">
        <f t="shared" si="266"/>
        <v>0</v>
      </c>
      <c r="BU88" s="76">
        <f t="shared" si="267"/>
        <v>0</v>
      </c>
      <c r="BV88" s="111" t="s">
        <v>77</v>
      </c>
      <c r="BW88" s="88" t="s">
        <v>77</v>
      </c>
      <c r="BX88" s="88" t="s">
        <v>77</v>
      </c>
      <c r="BY88" s="89" t="s">
        <v>77</v>
      </c>
      <c r="BZ88" s="88" t="s">
        <v>77</v>
      </c>
      <c r="CA88" s="88" t="s">
        <v>77</v>
      </c>
      <c r="CB88" s="89" t="s">
        <v>77</v>
      </c>
      <c r="CC88" s="88" t="s">
        <v>77</v>
      </c>
      <c r="CD88" s="88" t="s">
        <v>77</v>
      </c>
      <c r="CE88" s="89" t="s">
        <v>77</v>
      </c>
      <c r="CF88" s="88" t="s">
        <v>77</v>
      </c>
      <c r="CG88" s="88" t="s">
        <v>77</v>
      </c>
      <c r="CH88" s="89" t="s">
        <v>77</v>
      </c>
      <c r="CI88" s="41">
        <f t="shared" si="268"/>
        <v>0</v>
      </c>
      <c r="CJ88" s="41">
        <f t="shared" si="269"/>
        <v>0</v>
      </c>
      <c r="CK88" s="41">
        <f t="shared" si="270"/>
        <v>0</v>
      </c>
      <c r="CL88" s="41">
        <f t="shared" si="271"/>
        <v>0</v>
      </c>
      <c r="CM88" s="88" t="s">
        <v>77</v>
      </c>
      <c r="CN88" s="88" t="s">
        <v>77</v>
      </c>
      <c r="CO88" s="89" t="s">
        <v>77</v>
      </c>
      <c r="CP88" s="88" t="s">
        <v>77</v>
      </c>
      <c r="CQ88" s="88" t="s">
        <v>77</v>
      </c>
      <c r="CR88" s="89" t="s">
        <v>77</v>
      </c>
      <c r="CS88" s="88" t="s">
        <v>77</v>
      </c>
      <c r="CT88" s="88" t="s">
        <v>77</v>
      </c>
      <c r="CU88" s="89" t="s">
        <v>77</v>
      </c>
      <c r="CV88" s="88" t="s">
        <v>77</v>
      </c>
      <c r="CW88" s="88" t="s">
        <v>77</v>
      </c>
      <c r="CX88" s="89" t="s">
        <v>77</v>
      </c>
      <c r="CY88" s="286" t="s">
        <v>118</v>
      </c>
      <c r="CZ88" s="285" t="s">
        <v>77</v>
      </c>
      <c r="DA88" s="285" t="s">
        <v>56</v>
      </c>
      <c r="DB88" s="285" t="s">
        <v>77</v>
      </c>
      <c r="DC88" s="285" t="s">
        <v>56</v>
      </c>
      <c r="DD88" s="65" t="s">
        <v>287</v>
      </c>
      <c r="DE88" s="65" t="s">
        <v>288</v>
      </c>
      <c r="DF88" s="285"/>
      <c r="DG88" s="285"/>
      <c r="DH88" s="285"/>
      <c r="DI88" s="285"/>
      <c r="DJ88" s="271"/>
      <c r="DK88" s="271"/>
      <c r="DL88" s="272"/>
      <c r="DM88" s="271"/>
      <c r="DN88" s="271"/>
      <c r="DO88" s="519"/>
      <c r="DP88" s="519"/>
      <c r="DS88" s="65"/>
      <c r="DT88" s="112"/>
      <c r="DU88" s="29"/>
      <c r="DV88" s="29"/>
      <c r="DW88" s="29"/>
      <c r="DX88" s="29"/>
      <c r="DY88" s="29"/>
      <c r="DZ88" s="29"/>
      <c r="EA88" s="29"/>
      <c r="EB88" s="29"/>
    </row>
    <row r="89" spans="1:132" ht="63.75" customHeight="1" x14ac:dyDescent="0.2">
      <c r="A89" s="775"/>
      <c r="B89" s="68" t="s">
        <v>212</v>
      </c>
      <c r="C89" s="68"/>
      <c r="D89" s="236"/>
      <c r="E89" s="65" t="s">
        <v>213</v>
      </c>
      <c r="F89" s="285" t="s">
        <v>214</v>
      </c>
      <c r="G89" s="285" t="s">
        <v>77</v>
      </c>
      <c r="H89" s="285" t="s">
        <v>12</v>
      </c>
      <c r="I89" s="275" t="s">
        <v>527</v>
      </c>
      <c r="J89" s="65"/>
      <c r="K89" s="285"/>
      <c r="L89" s="272" t="s">
        <v>11</v>
      </c>
      <c r="M89" s="308">
        <v>0</v>
      </c>
      <c r="N89" s="11" t="s">
        <v>77</v>
      </c>
      <c r="O89" s="304"/>
      <c r="P89" s="303">
        <f t="shared" si="246"/>
        <v>0</v>
      </c>
      <c r="Q89" s="101">
        <v>0</v>
      </c>
      <c r="R89" s="101">
        <v>0</v>
      </c>
      <c r="S89" s="4">
        <v>0</v>
      </c>
      <c r="T89" s="4">
        <v>0</v>
      </c>
      <c r="U89" s="4">
        <v>0</v>
      </c>
      <c r="V89" s="4">
        <v>0</v>
      </c>
      <c r="W89" s="51"/>
      <c r="X89" s="51"/>
      <c r="Y89" s="4">
        <f t="shared" si="249"/>
        <v>0</v>
      </c>
      <c r="Z89" s="4">
        <f t="shared" si="250"/>
        <v>0</v>
      </c>
      <c r="AA89" s="99">
        <f t="shared" si="251"/>
        <v>0</v>
      </c>
      <c r="AB89" s="99">
        <f t="shared" si="252"/>
        <v>0</v>
      </c>
      <c r="AC89" s="99">
        <f t="shared" si="279"/>
        <v>0</v>
      </c>
      <c r="AD89" s="4">
        <f t="shared" si="253"/>
        <v>0</v>
      </c>
      <c r="AE89" s="4">
        <f t="shared" si="254"/>
        <v>0</v>
      </c>
      <c r="AF89" s="4">
        <f t="shared" si="255"/>
        <v>0</v>
      </c>
      <c r="AG89" s="4">
        <f t="shared" si="256"/>
        <v>0</v>
      </c>
      <c r="AH89" s="76">
        <v>0</v>
      </c>
      <c r="AI89" s="76">
        <v>0</v>
      </c>
      <c r="AJ89" s="76">
        <f t="shared" si="230"/>
        <v>0</v>
      </c>
      <c r="AK89" s="76">
        <f t="shared" si="272"/>
        <v>0</v>
      </c>
      <c r="AL89" s="76">
        <f t="shared" si="273"/>
        <v>0</v>
      </c>
      <c r="AM89" s="76">
        <f t="shared" si="274"/>
        <v>0</v>
      </c>
      <c r="AN89" s="104">
        <v>0</v>
      </c>
      <c r="AO89" s="104"/>
      <c r="AP89" s="76">
        <f t="shared" si="258"/>
        <v>0</v>
      </c>
      <c r="AQ89" s="76">
        <f t="shared" si="258"/>
        <v>0</v>
      </c>
      <c r="AR89" s="76">
        <f t="shared" si="281"/>
        <v>0</v>
      </c>
      <c r="AS89" s="76">
        <v>0</v>
      </c>
      <c r="AT89" s="76">
        <v>0</v>
      </c>
      <c r="AU89" s="76">
        <f t="shared" si="235"/>
        <v>0</v>
      </c>
      <c r="AV89" s="76">
        <f t="shared" si="275"/>
        <v>0</v>
      </c>
      <c r="AW89" s="76">
        <f t="shared" si="276"/>
        <v>0</v>
      </c>
      <c r="AX89" s="76">
        <f t="shared" si="277"/>
        <v>0</v>
      </c>
      <c r="AY89" s="51">
        <v>0</v>
      </c>
      <c r="AZ89" s="51">
        <v>0</v>
      </c>
      <c r="BA89" s="51">
        <v>0</v>
      </c>
      <c r="BB89" s="327"/>
      <c r="BC89" s="76">
        <f t="shared" si="242"/>
        <v>0</v>
      </c>
      <c r="BD89" s="76">
        <f t="shared" si="243"/>
        <v>0</v>
      </c>
      <c r="BE89" s="76">
        <f t="shared" si="280"/>
        <v>0</v>
      </c>
      <c r="BF89" s="76">
        <f t="shared" si="240"/>
        <v>0</v>
      </c>
      <c r="BG89" s="76">
        <f t="shared" si="241"/>
        <v>0</v>
      </c>
      <c r="BH89" s="76">
        <f t="shared" si="241"/>
        <v>0</v>
      </c>
      <c r="BI89" s="4">
        <v>0</v>
      </c>
      <c r="BJ89" s="76">
        <v>0</v>
      </c>
      <c r="BK89" s="76" t="e">
        <f t="shared" si="278"/>
        <v>#DIV/0!</v>
      </c>
      <c r="BL89" s="111" t="e">
        <f t="shared" si="260"/>
        <v>#DIV/0!</v>
      </c>
      <c r="BM89" s="4">
        <f t="shared" si="261"/>
        <v>0</v>
      </c>
      <c r="BN89" s="4">
        <f t="shared" si="282"/>
        <v>0</v>
      </c>
      <c r="BO89" s="4">
        <f t="shared" si="262"/>
        <v>0</v>
      </c>
      <c r="BP89" s="4">
        <f t="shared" si="283"/>
        <v>0</v>
      </c>
      <c r="BQ89" s="4">
        <f t="shared" si="263"/>
        <v>0</v>
      </c>
      <c r="BR89" s="4">
        <f t="shared" si="264"/>
        <v>0</v>
      </c>
      <c r="BS89" s="4">
        <f t="shared" si="265"/>
        <v>0</v>
      </c>
      <c r="BT89" s="4">
        <f t="shared" si="266"/>
        <v>0</v>
      </c>
      <c r="BU89" s="76">
        <f t="shared" si="267"/>
        <v>0</v>
      </c>
      <c r="BV89" s="111" t="s">
        <v>77</v>
      </c>
      <c r="BW89" s="88" t="s">
        <v>77</v>
      </c>
      <c r="BX89" s="88" t="s">
        <v>77</v>
      </c>
      <c r="BY89" s="89" t="s">
        <v>77</v>
      </c>
      <c r="BZ89" s="88" t="s">
        <v>77</v>
      </c>
      <c r="CA89" s="88" t="s">
        <v>77</v>
      </c>
      <c r="CB89" s="89" t="s">
        <v>77</v>
      </c>
      <c r="CC89" s="88" t="s">
        <v>77</v>
      </c>
      <c r="CD89" s="88" t="s">
        <v>77</v>
      </c>
      <c r="CE89" s="89" t="s">
        <v>77</v>
      </c>
      <c r="CF89" s="88" t="s">
        <v>77</v>
      </c>
      <c r="CG89" s="88" t="s">
        <v>77</v>
      </c>
      <c r="CH89" s="89" t="s">
        <v>77</v>
      </c>
      <c r="CI89" s="41">
        <f t="shared" si="268"/>
        <v>0</v>
      </c>
      <c r="CJ89" s="41">
        <f t="shared" si="269"/>
        <v>0</v>
      </c>
      <c r="CK89" s="41">
        <f t="shared" si="270"/>
        <v>0</v>
      </c>
      <c r="CL89" s="41">
        <f t="shared" si="271"/>
        <v>0</v>
      </c>
      <c r="CM89" s="88" t="s">
        <v>77</v>
      </c>
      <c r="CN89" s="88" t="s">
        <v>77</v>
      </c>
      <c r="CO89" s="89" t="s">
        <v>77</v>
      </c>
      <c r="CP89" s="88" t="s">
        <v>77</v>
      </c>
      <c r="CQ89" s="88" t="s">
        <v>77</v>
      </c>
      <c r="CR89" s="89" t="s">
        <v>77</v>
      </c>
      <c r="CS89" s="88" t="s">
        <v>77</v>
      </c>
      <c r="CT89" s="88" t="s">
        <v>77</v>
      </c>
      <c r="CU89" s="89" t="s">
        <v>77</v>
      </c>
      <c r="CV89" s="88" t="s">
        <v>77</v>
      </c>
      <c r="CW89" s="88" t="s">
        <v>77</v>
      </c>
      <c r="CX89" s="89" t="s">
        <v>77</v>
      </c>
      <c r="CY89" s="286" t="s">
        <v>118</v>
      </c>
      <c r="CZ89" s="285" t="s">
        <v>77</v>
      </c>
      <c r="DA89" s="285" t="s">
        <v>57</v>
      </c>
      <c r="DB89" s="285" t="s">
        <v>77</v>
      </c>
      <c r="DC89" s="285" t="s">
        <v>57</v>
      </c>
      <c r="DD89" s="65"/>
      <c r="DE89" s="65"/>
      <c r="DF89" s="285"/>
      <c r="DG89" s="285"/>
      <c r="DH89" s="285"/>
      <c r="DI89" s="285"/>
      <c r="DJ89" s="271"/>
      <c r="DK89" s="271"/>
      <c r="DL89" s="272"/>
      <c r="DM89" s="271"/>
      <c r="DN89" s="271"/>
      <c r="DO89" s="519"/>
      <c r="DP89" s="519"/>
      <c r="DS89" s="65"/>
      <c r="DT89" s="112"/>
      <c r="DU89" s="29"/>
      <c r="DV89" s="29"/>
      <c r="DW89" s="29"/>
      <c r="DX89" s="29"/>
      <c r="DY89" s="29"/>
      <c r="DZ89" s="29"/>
      <c r="EA89" s="29"/>
      <c r="EB89" s="29"/>
    </row>
    <row r="90" spans="1:132" ht="153" customHeight="1" x14ac:dyDescent="0.2">
      <c r="A90" s="766" t="s">
        <v>215</v>
      </c>
      <c r="B90" s="81" t="s">
        <v>344</v>
      </c>
      <c r="C90" s="86"/>
      <c r="D90" s="237">
        <v>900</v>
      </c>
      <c r="E90" s="65" t="s">
        <v>414</v>
      </c>
      <c r="F90" s="11" t="s">
        <v>77</v>
      </c>
      <c r="G90" s="11" t="s">
        <v>77</v>
      </c>
      <c r="H90" s="11" t="s">
        <v>77</v>
      </c>
      <c r="I90" s="275" t="s">
        <v>527</v>
      </c>
      <c r="J90" s="69" t="s">
        <v>216</v>
      </c>
      <c r="K90" s="285"/>
      <c r="L90" s="6" t="s">
        <v>345</v>
      </c>
      <c r="M90" s="308" t="s">
        <v>77</v>
      </c>
      <c r="N90" s="308" t="s">
        <v>77</v>
      </c>
      <c r="O90" s="304">
        <v>1</v>
      </c>
      <c r="P90" s="303" t="s">
        <v>77</v>
      </c>
      <c r="Q90" s="3">
        <v>0</v>
      </c>
      <c r="R90" s="3">
        <v>0</v>
      </c>
      <c r="S90" s="4">
        <v>0</v>
      </c>
      <c r="T90" s="4">
        <v>0</v>
      </c>
      <c r="U90" s="4">
        <v>0</v>
      </c>
      <c r="V90" s="4">
        <v>0</v>
      </c>
      <c r="W90" s="51" t="s">
        <v>77</v>
      </c>
      <c r="X90" s="51" t="s">
        <v>77</v>
      </c>
      <c r="Y90" s="4">
        <v>0</v>
      </c>
      <c r="Z90" s="4">
        <v>0</v>
      </c>
      <c r="AA90" s="4">
        <f t="shared" si="251"/>
        <v>0</v>
      </c>
      <c r="AB90" s="4">
        <f t="shared" si="252"/>
        <v>0</v>
      </c>
      <c r="AC90" s="99">
        <f t="shared" si="279"/>
        <v>0</v>
      </c>
      <c r="AD90" s="4">
        <v>0</v>
      </c>
      <c r="AE90" s="4">
        <v>0</v>
      </c>
      <c r="AF90" s="4">
        <f t="shared" si="255"/>
        <v>0</v>
      </c>
      <c r="AG90" s="4">
        <f t="shared" si="256"/>
        <v>0</v>
      </c>
      <c r="AH90" s="76">
        <v>0</v>
      </c>
      <c r="AI90" s="76">
        <v>0</v>
      </c>
      <c r="AJ90" s="76">
        <f t="shared" si="230"/>
        <v>0</v>
      </c>
      <c r="AK90" s="76">
        <f t="shared" si="272"/>
        <v>0</v>
      </c>
      <c r="AL90" s="76">
        <f t="shared" si="273"/>
        <v>0</v>
      </c>
      <c r="AM90" s="76">
        <f t="shared" si="274"/>
        <v>0</v>
      </c>
      <c r="AN90" s="104">
        <v>0.1</v>
      </c>
      <c r="AO90" s="76">
        <v>0</v>
      </c>
      <c r="AP90" s="76">
        <f t="shared" ref="AP90:AP99" si="284">(AK90*(1+$AN$2))+AO90</f>
        <v>0</v>
      </c>
      <c r="AQ90" s="76">
        <f t="shared" ref="AQ90:AQ99" si="285">(AL90*(1+$AN$2))+AO90</f>
        <v>0</v>
      </c>
      <c r="AR90" s="76">
        <f t="shared" si="281"/>
        <v>0</v>
      </c>
      <c r="AS90" s="6">
        <v>0.1</v>
      </c>
      <c r="AT90" s="6">
        <v>0.2</v>
      </c>
      <c r="AU90" s="76">
        <f t="shared" si="235"/>
        <v>0.15000000000000002</v>
      </c>
      <c r="AV90" s="76">
        <f t="shared" si="275"/>
        <v>0.1</v>
      </c>
      <c r="AW90" s="76">
        <f t="shared" si="276"/>
        <v>0.2</v>
      </c>
      <c r="AX90" s="76">
        <f t="shared" si="277"/>
        <v>0.15000000000000002</v>
      </c>
      <c r="AY90" s="51">
        <v>0</v>
      </c>
      <c r="AZ90" s="51">
        <v>0</v>
      </c>
      <c r="BA90" s="51">
        <v>0</v>
      </c>
      <c r="BB90" s="330" t="s">
        <v>55</v>
      </c>
      <c r="BC90" s="76">
        <f>AP90*(1+$AZ90)</f>
        <v>0</v>
      </c>
      <c r="BD90" s="76">
        <f>AQ90*(1+$AZ90)</f>
        <v>0</v>
      </c>
      <c r="BE90" s="76">
        <f t="shared" si="280"/>
        <v>0</v>
      </c>
      <c r="BF90" s="6">
        <f>AV90*(1+$BA90)</f>
        <v>0.1</v>
      </c>
      <c r="BG90" s="6">
        <f>AW90*(1+$BA90)</f>
        <v>0.2</v>
      </c>
      <c r="BH90" s="76">
        <f t="shared" si="241"/>
        <v>0.15000000000000002</v>
      </c>
      <c r="BI90" s="4">
        <v>10</v>
      </c>
      <c r="BJ90" s="76">
        <v>0</v>
      </c>
      <c r="BK90" s="76">
        <f t="shared" si="278"/>
        <v>0</v>
      </c>
      <c r="BL90" s="111">
        <f t="shared" si="260"/>
        <v>0</v>
      </c>
      <c r="BM90" s="4">
        <f t="shared" si="261"/>
        <v>0</v>
      </c>
      <c r="BN90" s="4">
        <f t="shared" si="282"/>
        <v>0</v>
      </c>
      <c r="BO90" s="4">
        <f t="shared" si="262"/>
        <v>0</v>
      </c>
      <c r="BP90" s="4">
        <f t="shared" si="283"/>
        <v>0</v>
      </c>
      <c r="BQ90" s="324">
        <f t="shared" ref="BQ90:BQ99" si="286">IF($Q90&lt;$W$122,BM90,(BM90-((BM90/$Q90)*($Q90-$W$122))))</f>
        <v>0</v>
      </c>
      <c r="BR90" s="324">
        <f t="shared" ref="BR90:BR99" si="287">IF($Q90&lt;$W$122,BN90,(BN90-((BN90/$Q90)*($Q90-$W$122))))</f>
        <v>0</v>
      </c>
      <c r="BS90" s="324">
        <f t="shared" ref="BS90:BS99" si="288">IF($R90&lt;$X$122,BO90,(BO90-((BO90/$R90)*($R90-$X$122))))</f>
        <v>0</v>
      </c>
      <c r="BT90" s="324">
        <f t="shared" ref="BT90:BT99" si="289">IF($R90&lt;$X$122,BP90,(BP90-((BP90/$R90)*($R90-$X$122))))</f>
        <v>0</v>
      </c>
      <c r="BU90" s="76">
        <f t="shared" ref="BU90:BU99" si="290">IF((Y90+Z90+AD90+AE90=0),(BE90+PV($BY$2,$CB$2,-BH90,0,0)),"N/A")</f>
        <v>1.869331551380998</v>
      </c>
      <c r="BV90" s="111" t="s">
        <v>77</v>
      </c>
      <c r="BW90" s="88" t="s">
        <v>77</v>
      </c>
      <c r="BX90" s="88" t="s">
        <v>77</v>
      </c>
      <c r="BY90" s="89" t="s">
        <v>77</v>
      </c>
      <c r="BZ90" s="88" t="s">
        <v>77</v>
      </c>
      <c r="CA90" s="88" t="s">
        <v>77</v>
      </c>
      <c r="CB90" s="89" t="s">
        <v>77</v>
      </c>
      <c r="CC90" s="88" t="s">
        <v>77</v>
      </c>
      <c r="CD90" s="88" t="s">
        <v>77</v>
      </c>
      <c r="CE90" s="89" t="s">
        <v>77</v>
      </c>
      <c r="CF90" s="88" t="s">
        <v>77</v>
      </c>
      <c r="CG90" s="88" t="s">
        <v>77</v>
      </c>
      <c r="CH90" s="89" t="s">
        <v>77</v>
      </c>
      <c r="CI90" s="42" t="s">
        <v>77</v>
      </c>
      <c r="CJ90" s="42" t="s">
        <v>77</v>
      </c>
      <c r="CK90" s="42" t="s">
        <v>77</v>
      </c>
      <c r="CL90" s="42" t="s">
        <v>77</v>
      </c>
      <c r="CM90" s="88" t="s">
        <v>77</v>
      </c>
      <c r="CN90" s="88" t="s">
        <v>77</v>
      </c>
      <c r="CO90" s="89" t="s">
        <v>77</v>
      </c>
      <c r="CP90" s="88" t="s">
        <v>77</v>
      </c>
      <c r="CQ90" s="88" t="s">
        <v>77</v>
      </c>
      <c r="CR90" s="89" t="s">
        <v>77</v>
      </c>
      <c r="CS90" s="88" t="s">
        <v>77</v>
      </c>
      <c r="CT90" s="88" t="s">
        <v>77</v>
      </c>
      <c r="CU90" s="89" t="s">
        <v>77</v>
      </c>
      <c r="CV90" s="88" t="s">
        <v>77</v>
      </c>
      <c r="CW90" s="88" t="s">
        <v>77</v>
      </c>
      <c r="CX90" s="89" t="s">
        <v>77</v>
      </c>
      <c r="CY90" s="286" t="s">
        <v>312</v>
      </c>
      <c r="CZ90" s="285" t="s">
        <v>77</v>
      </c>
      <c r="DA90" s="285" t="s">
        <v>57</v>
      </c>
      <c r="DB90" s="285" t="s">
        <v>77</v>
      </c>
      <c r="DC90" s="285" t="s">
        <v>56</v>
      </c>
      <c r="DD90" s="275" t="s">
        <v>217</v>
      </c>
      <c r="DE90" s="275" t="s">
        <v>262</v>
      </c>
      <c r="DF90" s="285" t="s">
        <v>57</v>
      </c>
      <c r="DG90" s="285" t="s">
        <v>57</v>
      </c>
      <c r="DH90" s="285" t="s">
        <v>57</v>
      </c>
      <c r="DI90" s="285" t="s">
        <v>57</v>
      </c>
      <c r="DJ90" s="272" t="s">
        <v>77</v>
      </c>
      <c r="DK90" s="272" t="s">
        <v>77</v>
      </c>
      <c r="DL90" s="272" t="s">
        <v>77</v>
      </c>
      <c r="DM90" s="272" t="s">
        <v>77</v>
      </c>
      <c r="DN90" s="272" t="s">
        <v>77</v>
      </c>
      <c r="DO90" s="520"/>
      <c r="DP90" s="520"/>
      <c r="DS90" s="272"/>
      <c r="DT90" s="113"/>
      <c r="DU90" s="28"/>
      <c r="DV90" s="28"/>
      <c r="DW90" s="28"/>
      <c r="DX90" s="28"/>
      <c r="DY90" s="28"/>
      <c r="DZ90" s="28"/>
      <c r="EA90" s="28"/>
      <c r="EB90" s="28"/>
    </row>
    <row r="91" spans="1:132" ht="153" customHeight="1" x14ac:dyDescent="0.2">
      <c r="A91" s="766"/>
      <c r="B91" s="277" t="s">
        <v>39</v>
      </c>
      <c r="C91" s="84"/>
      <c r="D91" s="235">
        <v>901</v>
      </c>
      <c r="E91" s="65" t="s">
        <v>414</v>
      </c>
      <c r="F91" s="11" t="s">
        <v>77</v>
      </c>
      <c r="G91" s="11" t="s">
        <v>77</v>
      </c>
      <c r="H91" s="11" t="s">
        <v>77</v>
      </c>
      <c r="I91" s="275" t="s">
        <v>460</v>
      </c>
      <c r="J91" s="69" t="s">
        <v>216</v>
      </c>
      <c r="K91" s="285"/>
      <c r="L91" s="6" t="s">
        <v>54</v>
      </c>
      <c r="M91" s="308" t="s">
        <v>77</v>
      </c>
      <c r="N91" s="308" t="s">
        <v>77</v>
      </c>
      <c r="O91" s="304">
        <v>1</v>
      </c>
      <c r="P91" s="303" t="s">
        <v>77</v>
      </c>
      <c r="Q91" s="3">
        <v>0</v>
      </c>
      <c r="R91" s="3">
        <v>0</v>
      </c>
      <c r="S91" s="4">
        <v>0</v>
      </c>
      <c r="T91" s="4">
        <v>0</v>
      </c>
      <c r="U91" s="4">
        <v>0</v>
      </c>
      <c r="V91" s="4">
        <v>0</v>
      </c>
      <c r="W91" s="51" t="s">
        <v>77</v>
      </c>
      <c r="X91" s="51" t="s">
        <v>77</v>
      </c>
      <c r="Y91" s="4">
        <v>0</v>
      </c>
      <c r="Z91" s="4">
        <v>0</v>
      </c>
      <c r="AA91" s="4">
        <f t="shared" si="251"/>
        <v>0</v>
      </c>
      <c r="AB91" s="4">
        <f t="shared" ref="AB91:AB99" si="291">Z91*0.4536</f>
        <v>0</v>
      </c>
      <c r="AC91" s="99">
        <f t="shared" ref="AC91:AC99" si="292">(AA91+AB91)/2</f>
        <v>0</v>
      </c>
      <c r="AD91" s="4">
        <v>0</v>
      </c>
      <c r="AE91" s="4">
        <v>0</v>
      </c>
      <c r="AF91" s="4">
        <f t="shared" ref="AF91:AF99" si="293">AD91*0.4536</f>
        <v>0</v>
      </c>
      <c r="AG91" s="4">
        <f t="shared" ref="AG91:AG99" si="294">AE91*0.4536</f>
        <v>0</v>
      </c>
      <c r="AH91" s="76">
        <v>0</v>
      </c>
      <c r="AI91" s="76">
        <v>0</v>
      </c>
      <c r="AJ91" s="76">
        <f t="shared" si="230"/>
        <v>0</v>
      </c>
      <c r="AK91" s="76">
        <f t="shared" si="272"/>
        <v>0</v>
      </c>
      <c r="AL91" s="76">
        <f t="shared" si="273"/>
        <v>0</v>
      </c>
      <c r="AM91" s="76">
        <f t="shared" si="274"/>
        <v>0</v>
      </c>
      <c r="AN91" s="104">
        <v>0.1</v>
      </c>
      <c r="AO91" s="76">
        <v>0</v>
      </c>
      <c r="AP91" s="76">
        <f t="shared" si="284"/>
        <v>0</v>
      </c>
      <c r="AQ91" s="76">
        <f t="shared" si="285"/>
        <v>0</v>
      </c>
      <c r="AR91" s="76">
        <f t="shared" si="281"/>
        <v>0</v>
      </c>
      <c r="AS91" s="76">
        <v>0</v>
      </c>
      <c r="AT91" s="76">
        <v>0</v>
      </c>
      <c r="AU91" s="76">
        <f t="shared" si="235"/>
        <v>0</v>
      </c>
      <c r="AV91" s="76">
        <f t="shared" si="275"/>
        <v>0</v>
      </c>
      <c r="AW91" s="76">
        <f t="shared" si="276"/>
        <v>0</v>
      </c>
      <c r="AX91" s="76">
        <f t="shared" si="277"/>
        <v>0</v>
      </c>
      <c r="AY91" s="51">
        <v>0</v>
      </c>
      <c r="AZ91" s="51">
        <v>0.1</v>
      </c>
      <c r="BA91" s="51">
        <v>0</v>
      </c>
      <c r="BB91" s="327" t="s">
        <v>291</v>
      </c>
      <c r="BC91" s="76">
        <f>AP91*(1+$AZ91)</f>
        <v>0</v>
      </c>
      <c r="BD91" s="76">
        <f>AQ91*(1+$AZ91)</f>
        <v>0</v>
      </c>
      <c r="BE91" s="76">
        <f t="shared" si="280"/>
        <v>0</v>
      </c>
      <c r="BF91" s="76">
        <f>AV91*(1+$BA91)</f>
        <v>0</v>
      </c>
      <c r="BG91" s="76">
        <f>AW91*(1+$BA91)</f>
        <v>0</v>
      </c>
      <c r="BH91" s="76">
        <f t="shared" si="241"/>
        <v>0</v>
      </c>
      <c r="BI91" s="4">
        <v>10</v>
      </c>
      <c r="BJ91" s="76">
        <v>0</v>
      </c>
      <c r="BK91" s="76">
        <f t="shared" si="278"/>
        <v>0</v>
      </c>
      <c r="BL91" s="111">
        <f t="shared" si="260"/>
        <v>0</v>
      </c>
      <c r="BM91" s="4">
        <f t="shared" si="261"/>
        <v>0</v>
      </c>
      <c r="BN91" s="4">
        <f t="shared" si="282"/>
        <v>0</v>
      </c>
      <c r="BO91" s="4">
        <f t="shared" si="262"/>
        <v>0</v>
      </c>
      <c r="BP91" s="4">
        <f t="shared" si="283"/>
        <v>0</v>
      </c>
      <c r="BQ91" s="324">
        <f t="shared" si="286"/>
        <v>0</v>
      </c>
      <c r="BR91" s="324">
        <f t="shared" si="287"/>
        <v>0</v>
      </c>
      <c r="BS91" s="324">
        <f t="shared" si="288"/>
        <v>0</v>
      </c>
      <c r="BT91" s="324">
        <f t="shared" si="289"/>
        <v>0</v>
      </c>
      <c r="BU91" s="76">
        <f t="shared" si="290"/>
        <v>0</v>
      </c>
      <c r="BV91" s="111" t="s">
        <v>77</v>
      </c>
      <c r="BW91" s="88" t="s">
        <v>77</v>
      </c>
      <c r="BX91" s="88" t="s">
        <v>77</v>
      </c>
      <c r="BY91" s="89" t="s">
        <v>77</v>
      </c>
      <c r="BZ91" s="88" t="s">
        <v>77</v>
      </c>
      <c r="CA91" s="88" t="s">
        <v>77</v>
      </c>
      <c r="CB91" s="89" t="s">
        <v>77</v>
      </c>
      <c r="CC91" s="88" t="s">
        <v>77</v>
      </c>
      <c r="CD91" s="88" t="s">
        <v>77</v>
      </c>
      <c r="CE91" s="89" t="s">
        <v>77</v>
      </c>
      <c r="CF91" s="88" t="s">
        <v>77</v>
      </c>
      <c r="CG91" s="88" t="s">
        <v>77</v>
      </c>
      <c r="CH91" s="89" t="s">
        <v>77</v>
      </c>
      <c r="CI91" s="42" t="s">
        <v>77</v>
      </c>
      <c r="CJ91" s="42" t="s">
        <v>77</v>
      </c>
      <c r="CK91" s="42" t="s">
        <v>77</v>
      </c>
      <c r="CL91" s="42" t="s">
        <v>77</v>
      </c>
      <c r="CM91" s="88" t="s">
        <v>77</v>
      </c>
      <c r="CN91" s="88" t="s">
        <v>77</v>
      </c>
      <c r="CO91" s="89" t="s">
        <v>77</v>
      </c>
      <c r="CP91" s="88" t="s">
        <v>77</v>
      </c>
      <c r="CQ91" s="88" t="s">
        <v>77</v>
      </c>
      <c r="CR91" s="89" t="s">
        <v>77</v>
      </c>
      <c r="CS91" s="88" t="s">
        <v>77</v>
      </c>
      <c r="CT91" s="88" t="s">
        <v>77</v>
      </c>
      <c r="CU91" s="89" t="s">
        <v>77</v>
      </c>
      <c r="CV91" s="88" t="s">
        <v>77</v>
      </c>
      <c r="CW91" s="88" t="s">
        <v>77</v>
      </c>
      <c r="CX91" s="89" t="s">
        <v>77</v>
      </c>
      <c r="CY91" s="286" t="s">
        <v>312</v>
      </c>
      <c r="CZ91" s="285" t="s">
        <v>77</v>
      </c>
      <c r="DA91" s="285" t="s">
        <v>57</v>
      </c>
      <c r="DB91" s="285" t="s">
        <v>77</v>
      </c>
      <c r="DC91" s="285" t="s">
        <v>56</v>
      </c>
      <c r="DD91" s="275" t="s">
        <v>217</v>
      </c>
      <c r="DE91" s="275" t="s">
        <v>262</v>
      </c>
      <c r="DF91" s="285" t="s">
        <v>57</v>
      </c>
      <c r="DG91" s="285" t="s">
        <v>57</v>
      </c>
      <c r="DH91" s="285" t="s">
        <v>57</v>
      </c>
      <c r="DI91" s="285" t="s">
        <v>57</v>
      </c>
      <c r="DJ91" s="272" t="s">
        <v>77</v>
      </c>
      <c r="DK91" s="272" t="s">
        <v>77</v>
      </c>
      <c r="DL91" s="272" t="s">
        <v>77</v>
      </c>
      <c r="DM91" s="272" t="s">
        <v>77</v>
      </c>
      <c r="DN91" s="272" t="s">
        <v>77</v>
      </c>
      <c r="DO91" s="520"/>
      <c r="DP91" s="520"/>
      <c r="DS91" s="272"/>
      <c r="DT91" s="113"/>
      <c r="DU91" s="28"/>
      <c r="DV91" s="28"/>
      <c r="DW91" s="28"/>
      <c r="DX91" s="28"/>
      <c r="DY91" s="28"/>
      <c r="DZ91" s="28"/>
      <c r="EA91" s="28"/>
      <c r="EB91" s="28"/>
    </row>
    <row r="92" spans="1:132" ht="140.25" customHeight="1" x14ac:dyDescent="0.2">
      <c r="A92" s="766"/>
      <c r="B92" s="277" t="s">
        <v>51</v>
      </c>
      <c r="C92" s="84"/>
      <c r="D92" s="235">
        <v>902</v>
      </c>
      <c r="E92" s="65" t="s">
        <v>218</v>
      </c>
      <c r="F92" s="11" t="s">
        <v>77</v>
      </c>
      <c r="G92" s="11" t="s">
        <v>77</v>
      </c>
      <c r="H92" s="11" t="s">
        <v>77</v>
      </c>
      <c r="I92" s="275" t="s">
        <v>460</v>
      </c>
      <c r="J92" s="70" t="s">
        <v>219</v>
      </c>
      <c r="K92" s="285"/>
      <c r="L92" s="6" t="s">
        <v>54</v>
      </c>
      <c r="M92" s="308" t="s">
        <v>77</v>
      </c>
      <c r="N92" s="308" t="s">
        <v>77</v>
      </c>
      <c r="O92" s="304">
        <v>1</v>
      </c>
      <c r="P92" s="303" t="s">
        <v>77</v>
      </c>
      <c r="Q92" s="3">
        <v>0</v>
      </c>
      <c r="R92" s="3">
        <v>0</v>
      </c>
      <c r="S92" s="4">
        <v>0</v>
      </c>
      <c r="T92" s="4">
        <v>0</v>
      </c>
      <c r="U92" s="4">
        <v>0</v>
      </c>
      <c r="V92" s="4">
        <v>0</v>
      </c>
      <c r="W92" s="51" t="s">
        <v>77</v>
      </c>
      <c r="X92" s="51" t="s">
        <v>77</v>
      </c>
      <c r="Y92" s="4">
        <v>0</v>
      </c>
      <c r="Z92" s="4">
        <v>0</v>
      </c>
      <c r="AA92" s="4">
        <f t="shared" si="251"/>
        <v>0</v>
      </c>
      <c r="AB92" s="4">
        <f t="shared" si="291"/>
        <v>0</v>
      </c>
      <c r="AC92" s="99">
        <f t="shared" si="292"/>
        <v>0</v>
      </c>
      <c r="AD92" s="4">
        <v>0</v>
      </c>
      <c r="AE92" s="4">
        <v>0</v>
      </c>
      <c r="AF92" s="4">
        <f t="shared" si="293"/>
        <v>0</v>
      </c>
      <c r="AG92" s="4">
        <f t="shared" si="294"/>
        <v>0</v>
      </c>
      <c r="AH92" s="76">
        <v>65</v>
      </c>
      <c r="AI92" s="76">
        <v>90</v>
      </c>
      <c r="AJ92" s="76">
        <f t="shared" si="230"/>
        <v>77.5</v>
      </c>
      <c r="AK92" s="76">
        <f t="shared" si="272"/>
        <v>65</v>
      </c>
      <c r="AL92" s="76">
        <f t="shared" si="273"/>
        <v>90</v>
      </c>
      <c r="AM92" s="76">
        <f t="shared" si="274"/>
        <v>77.5</v>
      </c>
      <c r="AN92" s="104">
        <v>0.3</v>
      </c>
      <c r="AO92" s="76">
        <v>0</v>
      </c>
      <c r="AP92" s="76">
        <f t="shared" si="284"/>
        <v>91</v>
      </c>
      <c r="AQ92" s="76">
        <f t="shared" si="285"/>
        <v>125.99999999999999</v>
      </c>
      <c r="AR92" s="76">
        <f t="shared" si="281"/>
        <v>108.5</v>
      </c>
      <c r="AS92" s="76">
        <v>65</v>
      </c>
      <c r="AT92" s="76">
        <v>210</v>
      </c>
      <c r="AU92" s="76">
        <f t="shared" si="235"/>
        <v>137.5</v>
      </c>
      <c r="AV92" s="76">
        <f t="shared" si="275"/>
        <v>65</v>
      </c>
      <c r="AW92" s="76">
        <f t="shared" si="276"/>
        <v>210</v>
      </c>
      <c r="AX92" s="76">
        <f t="shared" si="277"/>
        <v>137.5</v>
      </c>
      <c r="AY92" s="51">
        <v>0</v>
      </c>
      <c r="AZ92" s="51">
        <v>0.1</v>
      </c>
      <c r="BA92" s="51">
        <v>0</v>
      </c>
      <c r="BB92" s="327" t="s">
        <v>291</v>
      </c>
      <c r="BC92" s="76">
        <f t="shared" si="242"/>
        <v>100.10000000000001</v>
      </c>
      <c r="BD92" s="76">
        <f t="shared" si="243"/>
        <v>138.6</v>
      </c>
      <c r="BE92" s="76">
        <f t="shared" si="280"/>
        <v>119.35000000000001</v>
      </c>
      <c r="BF92" s="76">
        <f t="shared" si="240"/>
        <v>65</v>
      </c>
      <c r="BG92" s="76">
        <f t="shared" si="241"/>
        <v>210</v>
      </c>
      <c r="BH92" s="76">
        <f t="shared" si="241"/>
        <v>137.5</v>
      </c>
      <c r="BI92" s="4">
        <v>10</v>
      </c>
      <c r="BJ92" s="76">
        <v>30</v>
      </c>
      <c r="BK92" s="76">
        <f t="shared" si="278"/>
        <v>60</v>
      </c>
      <c r="BL92" s="111">
        <f t="shared" si="260"/>
        <v>29.724082092412797</v>
      </c>
      <c r="BM92" s="4">
        <f t="shared" si="261"/>
        <v>0</v>
      </c>
      <c r="BN92" s="4">
        <f t="shared" si="282"/>
        <v>0</v>
      </c>
      <c r="BO92" s="4">
        <f t="shared" si="262"/>
        <v>0</v>
      </c>
      <c r="BP92" s="4">
        <f t="shared" si="283"/>
        <v>0</v>
      </c>
      <c r="BQ92" s="324">
        <f t="shared" si="286"/>
        <v>0</v>
      </c>
      <c r="BR92" s="324">
        <f t="shared" si="287"/>
        <v>0</v>
      </c>
      <c r="BS92" s="324">
        <f t="shared" si="288"/>
        <v>0</v>
      </c>
      <c r="BT92" s="324">
        <f t="shared" si="289"/>
        <v>0</v>
      </c>
      <c r="BU92" s="76">
        <f t="shared" si="290"/>
        <v>1832.9039220992481</v>
      </c>
      <c r="BV92" s="111" t="s">
        <v>77</v>
      </c>
      <c r="BW92" s="88" t="s">
        <v>77</v>
      </c>
      <c r="BX92" s="88" t="s">
        <v>77</v>
      </c>
      <c r="BY92" s="89" t="s">
        <v>77</v>
      </c>
      <c r="BZ92" s="88" t="s">
        <v>77</v>
      </c>
      <c r="CA92" s="88" t="s">
        <v>77</v>
      </c>
      <c r="CB92" s="89" t="s">
        <v>77</v>
      </c>
      <c r="CC92" s="88" t="s">
        <v>77</v>
      </c>
      <c r="CD92" s="88" t="s">
        <v>77</v>
      </c>
      <c r="CE92" s="89" t="s">
        <v>77</v>
      </c>
      <c r="CF92" s="88" t="s">
        <v>77</v>
      </c>
      <c r="CG92" s="88" t="s">
        <v>77</v>
      </c>
      <c r="CH92" s="89" t="s">
        <v>77</v>
      </c>
      <c r="CI92" s="42" t="s">
        <v>77</v>
      </c>
      <c r="CJ92" s="42" t="s">
        <v>77</v>
      </c>
      <c r="CK92" s="42" t="s">
        <v>77</v>
      </c>
      <c r="CL92" s="42" t="s">
        <v>77</v>
      </c>
      <c r="CM92" s="88" t="s">
        <v>77</v>
      </c>
      <c r="CN92" s="88" t="s">
        <v>77</v>
      </c>
      <c r="CO92" s="89" t="s">
        <v>77</v>
      </c>
      <c r="CP92" s="88" t="s">
        <v>77</v>
      </c>
      <c r="CQ92" s="88" t="s">
        <v>77</v>
      </c>
      <c r="CR92" s="89" t="s">
        <v>77</v>
      </c>
      <c r="CS92" s="88" t="s">
        <v>77</v>
      </c>
      <c r="CT92" s="88" t="s">
        <v>77</v>
      </c>
      <c r="CU92" s="89" t="s">
        <v>77</v>
      </c>
      <c r="CV92" s="88" t="s">
        <v>77</v>
      </c>
      <c r="CW92" s="88" t="s">
        <v>77</v>
      </c>
      <c r="CX92" s="89" t="s">
        <v>77</v>
      </c>
      <c r="CY92" s="286" t="s">
        <v>312</v>
      </c>
      <c r="CZ92" s="285" t="s">
        <v>77</v>
      </c>
      <c r="DA92" s="285" t="s">
        <v>57</v>
      </c>
      <c r="DB92" s="285" t="s">
        <v>77</v>
      </c>
      <c r="DC92" s="285" t="s">
        <v>56</v>
      </c>
      <c r="DD92" s="275" t="s">
        <v>220</v>
      </c>
      <c r="DE92" s="275" t="s">
        <v>263</v>
      </c>
      <c r="DF92" s="285" t="s">
        <v>57</v>
      </c>
      <c r="DG92" s="285" t="s">
        <v>57</v>
      </c>
      <c r="DH92" s="285" t="s">
        <v>57</v>
      </c>
      <c r="DI92" s="285" t="s">
        <v>57</v>
      </c>
      <c r="DJ92" s="272" t="s">
        <v>77</v>
      </c>
      <c r="DK92" s="272" t="s">
        <v>77</v>
      </c>
      <c r="DL92" s="272" t="s">
        <v>77</v>
      </c>
      <c r="DM92" s="272" t="s">
        <v>77</v>
      </c>
      <c r="DN92" s="272" t="s">
        <v>77</v>
      </c>
      <c r="DO92" s="520"/>
      <c r="DP92" s="520"/>
      <c r="DS92" s="272"/>
      <c r="DT92" s="113"/>
      <c r="DU92" s="28"/>
      <c r="DV92" s="28"/>
      <c r="DW92" s="28"/>
      <c r="DX92" s="28"/>
      <c r="DY92" s="28"/>
      <c r="DZ92" s="28"/>
      <c r="EA92" s="28"/>
      <c r="EB92" s="28"/>
    </row>
    <row r="93" spans="1:132" ht="409.5" customHeight="1" x14ac:dyDescent="0.2">
      <c r="A93" s="766"/>
      <c r="B93" s="277" t="s">
        <v>40</v>
      </c>
      <c r="C93" s="84"/>
      <c r="D93" s="235">
        <v>903</v>
      </c>
      <c r="E93" s="65" t="s">
        <v>415</v>
      </c>
      <c r="F93" s="11" t="s">
        <v>77</v>
      </c>
      <c r="G93" s="11" t="s">
        <v>77</v>
      </c>
      <c r="H93" s="11" t="s">
        <v>77</v>
      </c>
      <c r="I93" s="275" t="s">
        <v>460</v>
      </c>
      <c r="J93" s="70" t="s">
        <v>221</v>
      </c>
      <c r="K93" s="285"/>
      <c r="L93" s="6" t="s">
        <v>54</v>
      </c>
      <c r="M93" s="308" t="s">
        <v>77</v>
      </c>
      <c r="N93" s="308" t="s">
        <v>77</v>
      </c>
      <c r="O93" s="304">
        <v>1</v>
      </c>
      <c r="P93" s="303" t="s">
        <v>77</v>
      </c>
      <c r="Q93" s="3">
        <v>0</v>
      </c>
      <c r="R93" s="3">
        <v>0</v>
      </c>
      <c r="S93" s="4">
        <v>0</v>
      </c>
      <c r="T93" s="4">
        <v>0</v>
      </c>
      <c r="U93" s="4">
        <v>0</v>
      </c>
      <c r="V93" s="4">
        <v>0</v>
      </c>
      <c r="W93" s="51" t="s">
        <v>77</v>
      </c>
      <c r="X93" s="51" t="s">
        <v>77</v>
      </c>
      <c r="Y93" s="4">
        <v>0</v>
      </c>
      <c r="Z93" s="4">
        <v>0</v>
      </c>
      <c r="AA93" s="4">
        <f t="shared" si="251"/>
        <v>0</v>
      </c>
      <c r="AB93" s="4">
        <f t="shared" si="291"/>
        <v>0</v>
      </c>
      <c r="AC93" s="99">
        <f t="shared" si="292"/>
        <v>0</v>
      </c>
      <c r="AD93" s="4">
        <v>0</v>
      </c>
      <c r="AE93" s="4">
        <v>0</v>
      </c>
      <c r="AF93" s="4">
        <f t="shared" si="293"/>
        <v>0</v>
      </c>
      <c r="AG93" s="4">
        <f t="shared" si="294"/>
        <v>0</v>
      </c>
      <c r="AH93" s="76">
        <v>70</v>
      </c>
      <c r="AI93" s="76">
        <v>105</v>
      </c>
      <c r="AJ93" s="76">
        <f t="shared" si="230"/>
        <v>87.5</v>
      </c>
      <c r="AK93" s="76">
        <f t="shared" si="272"/>
        <v>70</v>
      </c>
      <c r="AL93" s="76">
        <f t="shared" si="273"/>
        <v>105</v>
      </c>
      <c r="AM93" s="76">
        <f t="shared" si="274"/>
        <v>87.5</v>
      </c>
      <c r="AN93" s="104">
        <v>0.3</v>
      </c>
      <c r="AO93" s="76">
        <v>0</v>
      </c>
      <c r="AP93" s="76">
        <f t="shared" si="284"/>
        <v>98</v>
      </c>
      <c r="AQ93" s="76">
        <f t="shared" si="285"/>
        <v>147</v>
      </c>
      <c r="AR93" s="76">
        <f t="shared" si="281"/>
        <v>122.5</v>
      </c>
      <c r="AS93" s="76">
        <v>215</v>
      </c>
      <c r="AT93" s="76">
        <v>490</v>
      </c>
      <c r="AU93" s="76">
        <f t="shared" si="235"/>
        <v>352.5</v>
      </c>
      <c r="AV93" s="76">
        <f t="shared" si="275"/>
        <v>215</v>
      </c>
      <c r="AW93" s="76">
        <f t="shared" si="276"/>
        <v>490</v>
      </c>
      <c r="AX93" s="76">
        <f t="shared" si="277"/>
        <v>352.5</v>
      </c>
      <c r="AY93" s="51">
        <v>0</v>
      </c>
      <c r="AZ93" s="51">
        <v>0.1</v>
      </c>
      <c r="BA93" s="51">
        <v>0</v>
      </c>
      <c r="BB93" s="327" t="s">
        <v>291</v>
      </c>
      <c r="BC93" s="76">
        <f t="shared" si="242"/>
        <v>107.80000000000001</v>
      </c>
      <c r="BD93" s="76">
        <f t="shared" si="243"/>
        <v>161.70000000000002</v>
      </c>
      <c r="BE93" s="76">
        <f t="shared" si="280"/>
        <v>134.75</v>
      </c>
      <c r="BF93" s="76">
        <f t="shared" si="240"/>
        <v>215</v>
      </c>
      <c r="BG93" s="76">
        <f t="shared" si="241"/>
        <v>490</v>
      </c>
      <c r="BH93" s="76">
        <f t="shared" si="241"/>
        <v>352.5</v>
      </c>
      <c r="BI93" s="4">
        <v>10</v>
      </c>
      <c r="BJ93" s="76">
        <v>35</v>
      </c>
      <c r="BK93" s="76">
        <f t="shared" si="278"/>
        <v>70</v>
      </c>
      <c r="BL93" s="111">
        <f t="shared" si="260"/>
        <v>34.678095774481598</v>
      </c>
      <c r="BM93" s="4">
        <f t="shared" si="261"/>
        <v>0</v>
      </c>
      <c r="BN93" s="4">
        <f t="shared" si="282"/>
        <v>0</v>
      </c>
      <c r="BO93" s="4">
        <f t="shared" si="262"/>
        <v>0</v>
      </c>
      <c r="BP93" s="4">
        <f t="shared" si="283"/>
        <v>0</v>
      </c>
      <c r="BQ93" s="324">
        <f t="shared" si="286"/>
        <v>0</v>
      </c>
      <c r="BR93" s="324">
        <f t="shared" si="287"/>
        <v>0</v>
      </c>
      <c r="BS93" s="324">
        <f t="shared" si="288"/>
        <v>0</v>
      </c>
      <c r="BT93" s="324">
        <f t="shared" si="289"/>
        <v>0</v>
      </c>
      <c r="BU93" s="76">
        <f t="shared" si="290"/>
        <v>4527.6791457453455</v>
      </c>
      <c r="BV93" s="111" t="s">
        <v>77</v>
      </c>
      <c r="BW93" s="88" t="s">
        <v>77</v>
      </c>
      <c r="BX93" s="88" t="s">
        <v>77</v>
      </c>
      <c r="BY93" s="89" t="s">
        <v>77</v>
      </c>
      <c r="BZ93" s="88" t="s">
        <v>77</v>
      </c>
      <c r="CA93" s="88" t="s">
        <v>77</v>
      </c>
      <c r="CB93" s="89" t="s">
        <v>77</v>
      </c>
      <c r="CC93" s="88" t="s">
        <v>77</v>
      </c>
      <c r="CD93" s="88" t="s">
        <v>77</v>
      </c>
      <c r="CE93" s="89" t="s">
        <v>77</v>
      </c>
      <c r="CF93" s="88" t="s">
        <v>77</v>
      </c>
      <c r="CG93" s="88" t="s">
        <v>77</v>
      </c>
      <c r="CH93" s="89" t="s">
        <v>77</v>
      </c>
      <c r="CI93" s="42" t="s">
        <v>77</v>
      </c>
      <c r="CJ93" s="42" t="s">
        <v>77</v>
      </c>
      <c r="CK93" s="42" t="s">
        <v>77</v>
      </c>
      <c r="CL93" s="42" t="s">
        <v>77</v>
      </c>
      <c r="CM93" s="88" t="s">
        <v>77</v>
      </c>
      <c r="CN93" s="88" t="s">
        <v>77</v>
      </c>
      <c r="CO93" s="89" t="s">
        <v>77</v>
      </c>
      <c r="CP93" s="88" t="s">
        <v>77</v>
      </c>
      <c r="CQ93" s="88" t="s">
        <v>77</v>
      </c>
      <c r="CR93" s="89" t="s">
        <v>77</v>
      </c>
      <c r="CS93" s="88" t="s">
        <v>77</v>
      </c>
      <c r="CT93" s="88" t="s">
        <v>77</v>
      </c>
      <c r="CU93" s="89" t="s">
        <v>77</v>
      </c>
      <c r="CV93" s="88" t="s">
        <v>77</v>
      </c>
      <c r="CW93" s="88" t="s">
        <v>77</v>
      </c>
      <c r="CX93" s="89" t="s">
        <v>77</v>
      </c>
      <c r="CY93" s="286" t="s">
        <v>312</v>
      </c>
      <c r="CZ93" s="285" t="s">
        <v>77</v>
      </c>
      <c r="DA93" s="285" t="s">
        <v>57</v>
      </c>
      <c r="DB93" s="285" t="s">
        <v>77</v>
      </c>
      <c r="DC93" s="285" t="s">
        <v>56</v>
      </c>
      <c r="DD93" s="275" t="s">
        <v>222</v>
      </c>
      <c r="DE93" s="275" t="s">
        <v>264</v>
      </c>
      <c r="DF93" s="285" t="s">
        <v>57</v>
      </c>
      <c r="DG93" s="285" t="s">
        <v>57</v>
      </c>
      <c r="DH93" s="285" t="s">
        <v>57</v>
      </c>
      <c r="DI93" s="285" t="s">
        <v>57</v>
      </c>
      <c r="DJ93" s="272" t="s">
        <v>77</v>
      </c>
      <c r="DK93" s="272" t="s">
        <v>77</v>
      </c>
      <c r="DL93" s="272" t="s">
        <v>77</v>
      </c>
      <c r="DM93" s="272" t="s">
        <v>77</v>
      </c>
      <c r="DN93" s="272" t="s">
        <v>77</v>
      </c>
      <c r="DO93" s="520"/>
      <c r="DP93" s="520"/>
      <c r="DS93" s="272"/>
      <c r="DT93" s="113"/>
      <c r="DU93" s="28"/>
      <c r="DV93" s="28"/>
      <c r="DW93" s="28"/>
      <c r="DX93" s="28"/>
      <c r="DY93" s="28"/>
      <c r="DZ93" s="28"/>
      <c r="EA93" s="28"/>
      <c r="EB93" s="28"/>
    </row>
    <row r="94" spans="1:132" ht="244.5" customHeight="1" x14ac:dyDescent="0.2">
      <c r="A94" s="766"/>
      <c r="B94" s="277" t="s">
        <v>41</v>
      </c>
      <c r="C94" s="84"/>
      <c r="D94" s="235">
        <v>904</v>
      </c>
      <c r="E94" s="65" t="s">
        <v>416</v>
      </c>
      <c r="F94" s="11" t="s">
        <v>77</v>
      </c>
      <c r="G94" s="11" t="s">
        <v>77</v>
      </c>
      <c r="H94" s="11" t="s">
        <v>77</v>
      </c>
      <c r="I94" s="275" t="s">
        <v>460</v>
      </c>
      <c r="J94" s="69" t="s">
        <v>223</v>
      </c>
      <c r="K94" s="285"/>
      <c r="L94" s="6" t="s">
        <v>54</v>
      </c>
      <c r="M94" s="308" t="s">
        <v>77</v>
      </c>
      <c r="N94" s="308" t="s">
        <v>77</v>
      </c>
      <c r="O94" s="304">
        <v>1</v>
      </c>
      <c r="P94" s="303" t="s">
        <v>77</v>
      </c>
      <c r="Q94" s="3">
        <v>0</v>
      </c>
      <c r="R94" s="3">
        <v>0</v>
      </c>
      <c r="S94" s="4">
        <v>0</v>
      </c>
      <c r="T94" s="4">
        <v>0</v>
      </c>
      <c r="U94" s="4">
        <v>0</v>
      </c>
      <c r="V94" s="4">
        <v>0</v>
      </c>
      <c r="W94" s="51" t="s">
        <v>77</v>
      </c>
      <c r="X94" s="51" t="s">
        <v>77</v>
      </c>
      <c r="Y94" s="4">
        <v>0</v>
      </c>
      <c r="Z94" s="4">
        <v>0</v>
      </c>
      <c r="AA94" s="4">
        <f t="shared" si="251"/>
        <v>0</v>
      </c>
      <c r="AB94" s="4">
        <f t="shared" si="291"/>
        <v>0</v>
      </c>
      <c r="AC94" s="99">
        <f t="shared" si="292"/>
        <v>0</v>
      </c>
      <c r="AD94" s="4">
        <v>0</v>
      </c>
      <c r="AE94" s="4">
        <v>0</v>
      </c>
      <c r="AF94" s="4">
        <f t="shared" si="293"/>
        <v>0</v>
      </c>
      <c r="AG94" s="4">
        <f t="shared" si="294"/>
        <v>0</v>
      </c>
      <c r="AH94" s="76">
        <v>215</v>
      </c>
      <c r="AI94" s="76">
        <v>275</v>
      </c>
      <c r="AJ94" s="76">
        <f t="shared" si="230"/>
        <v>245</v>
      </c>
      <c r="AK94" s="76">
        <f t="shared" si="272"/>
        <v>215</v>
      </c>
      <c r="AL94" s="76">
        <f t="shared" si="273"/>
        <v>275</v>
      </c>
      <c r="AM94" s="76">
        <f t="shared" si="274"/>
        <v>245</v>
      </c>
      <c r="AN94" s="104">
        <v>0.3</v>
      </c>
      <c r="AO94" s="76">
        <v>0</v>
      </c>
      <c r="AP94" s="76">
        <f t="shared" si="284"/>
        <v>301</v>
      </c>
      <c r="AQ94" s="76">
        <f t="shared" si="285"/>
        <v>385</v>
      </c>
      <c r="AR94" s="76">
        <f t="shared" si="281"/>
        <v>343</v>
      </c>
      <c r="AS94" s="76">
        <v>135</v>
      </c>
      <c r="AT94" s="76">
        <v>330</v>
      </c>
      <c r="AU94" s="76">
        <f t="shared" si="235"/>
        <v>232.5</v>
      </c>
      <c r="AV94" s="76">
        <f t="shared" si="275"/>
        <v>135</v>
      </c>
      <c r="AW94" s="76">
        <f t="shared" si="276"/>
        <v>330</v>
      </c>
      <c r="AX94" s="76">
        <f t="shared" si="277"/>
        <v>232.5</v>
      </c>
      <c r="AY94" s="51">
        <v>0</v>
      </c>
      <c r="AZ94" s="51">
        <v>0.1</v>
      </c>
      <c r="BA94" s="51">
        <v>0</v>
      </c>
      <c r="BB94" s="327" t="s">
        <v>291</v>
      </c>
      <c r="BC94" s="76">
        <f t="shared" si="242"/>
        <v>331.1</v>
      </c>
      <c r="BD94" s="76">
        <f t="shared" si="243"/>
        <v>423.50000000000006</v>
      </c>
      <c r="BE94" s="76">
        <f t="shared" si="280"/>
        <v>377.3</v>
      </c>
      <c r="BF94" s="76">
        <f t="shared" si="240"/>
        <v>135</v>
      </c>
      <c r="BG94" s="76">
        <f t="shared" si="241"/>
        <v>330</v>
      </c>
      <c r="BH94" s="76">
        <f t="shared" si="241"/>
        <v>232.5</v>
      </c>
      <c r="BI94" s="4">
        <v>10</v>
      </c>
      <c r="BJ94" s="76">
        <v>95</v>
      </c>
      <c r="BK94" s="76">
        <f t="shared" si="278"/>
        <v>190</v>
      </c>
      <c r="BL94" s="111">
        <f t="shared" si="260"/>
        <v>94.126259959307191</v>
      </c>
      <c r="BM94" s="4">
        <f t="shared" si="261"/>
        <v>0</v>
      </c>
      <c r="BN94" s="4">
        <f t="shared" si="282"/>
        <v>0</v>
      </c>
      <c r="BO94" s="4">
        <f t="shared" si="262"/>
        <v>0</v>
      </c>
      <c r="BP94" s="4">
        <f t="shared" si="283"/>
        <v>0</v>
      </c>
      <c r="BQ94" s="324">
        <f t="shared" si="286"/>
        <v>0</v>
      </c>
      <c r="BR94" s="324">
        <f t="shared" si="287"/>
        <v>0</v>
      </c>
      <c r="BS94" s="324">
        <f t="shared" si="288"/>
        <v>0</v>
      </c>
      <c r="BT94" s="324">
        <f t="shared" si="289"/>
        <v>0</v>
      </c>
      <c r="BU94" s="76">
        <f t="shared" si="290"/>
        <v>3274.7639046405466</v>
      </c>
      <c r="BV94" s="188" t="s">
        <v>77</v>
      </c>
      <c r="BW94" s="78" t="s">
        <v>77</v>
      </c>
      <c r="BX94" s="78" t="s">
        <v>77</v>
      </c>
      <c r="BY94" s="78" t="s">
        <v>77</v>
      </c>
      <c r="BZ94" s="78" t="s">
        <v>77</v>
      </c>
      <c r="CA94" s="78" t="s">
        <v>77</v>
      </c>
      <c r="CB94" s="78" t="s">
        <v>77</v>
      </c>
      <c r="CC94" s="78" t="s">
        <v>77</v>
      </c>
      <c r="CD94" s="78" t="s">
        <v>77</v>
      </c>
      <c r="CE94" s="78" t="s">
        <v>77</v>
      </c>
      <c r="CF94" s="78" t="s">
        <v>77</v>
      </c>
      <c r="CG94" s="78" t="s">
        <v>77</v>
      </c>
      <c r="CH94" s="78" t="s">
        <v>77</v>
      </c>
      <c r="CI94" s="42" t="s">
        <v>77</v>
      </c>
      <c r="CJ94" s="42" t="s">
        <v>77</v>
      </c>
      <c r="CK94" s="42" t="s">
        <v>77</v>
      </c>
      <c r="CL94" s="42" t="s">
        <v>77</v>
      </c>
      <c r="CM94" s="78" t="s">
        <v>77</v>
      </c>
      <c r="CN94" s="78" t="s">
        <v>77</v>
      </c>
      <c r="CO94" s="78" t="s">
        <v>77</v>
      </c>
      <c r="CP94" s="78" t="s">
        <v>77</v>
      </c>
      <c r="CQ94" s="78" t="s">
        <v>77</v>
      </c>
      <c r="CR94" s="78" t="s">
        <v>77</v>
      </c>
      <c r="CS94" s="78" t="s">
        <v>77</v>
      </c>
      <c r="CT94" s="78" t="s">
        <v>77</v>
      </c>
      <c r="CU94" s="78" t="s">
        <v>77</v>
      </c>
      <c r="CV94" s="78" t="s">
        <v>77</v>
      </c>
      <c r="CW94" s="78" t="s">
        <v>77</v>
      </c>
      <c r="CX94" s="78" t="s">
        <v>77</v>
      </c>
      <c r="CY94" s="286" t="s">
        <v>312</v>
      </c>
      <c r="CZ94" s="285" t="s">
        <v>77</v>
      </c>
      <c r="DA94" s="285" t="s">
        <v>56</v>
      </c>
      <c r="DB94" s="285" t="s">
        <v>77</v>
      </c>
      <c r="DC94" s="285" t="s">
        <v>56</v>
      </c>
      <c r="DD94" s="275" t="s">
        <v>265</v>
      </c>
      <c r="DE94" s="275" t="s">
        <v>266</v>
      </c>
      <c r="DF94" s="285" t="s">
        <v>57</v>
      </c>
      <c r="DG94" s="285" t="s">
        <v>57</v>
      </c>
      <c r="DH94" s="285" t="s">
        <v>57</v>
      </c>
      <c r="DI94" s="285" t="s">
        <v>57</v>
      </c>
      <c r="DJ94" s="272" t="s">
        <v>77</v>
      </c>
      <c r="DK94" s="272" t="s">
        <v>77</v>
      </c>
      <c r="DL94" s="272" t="s">
        <v>77</v>
      </c>
      <c r="DM94" s="272" t="s">
        <v>77</v>
      </c>
      <c r="DN94" s="272" t="s">
        <v>77</v>
      </c>
      <c r="DO94" s="520"/>
      <c r="DP94" s="520"/>
      <c r="DS94" s="272"/>
      <c r="DT94" s="113"/>
      <c r="DU94" s="28"/>
      <c r="DV94" s="28"/>
      <c r="DW94" s="28"/>
      <c r="DX94" s="28"/>
      <c r="DY94" s="28"/>
      <c r="DZ94" s="28"/>
      <c r="EA94" s="28"/>
      <c r="EB94" s="28"/>
    </row>
    <row r="95" spans="1:132" ht="241.5" customHeight="1" x14ac:dyDescent="0.2">
      <c r="A95" s="766"/>
      <c r="B95" s="277" t="s">
        <v>42</v>
      </c>
      <c r="C95" s="84"/>
      <c r="D95" s="235">
        <v>905</v>
      </c>
      <c r="E95" s="65" t="s">
        <v>417</v>
      </c>
      <c r="F95" s="11" t="s">
        <v>77</v>
      </c>
      <c r="G95" s="11" t="s">
        <v>77</v>
      </c>
      <c r="H95" s="11" t="s">
        <v>77</v>
      </c>
      <c r="I95" s="275" t="s">
        <v>460</v>
      </c>
      <c r="J95" s="69" t="s">
        <v>224</v>
      </c>
      <c r="K95" s="285"/>
      <c r="L95" s="6" t="s">
        <v>54</v>
      </c>
      <c r="M95" s="308" t="s">
        <v>77</v>
      </c>
      <c r="N95" s="308" t="s">
        <v>77</v>
      </c>
      <c r="O95" s="304">
        <v>1</v>
      </c>
      <c r="P95" s="303" t="s">
        <v>77</v>
      </c>
      <c r="Q95" s="3">
        <v>0</v>
      </c>
      <c r="R95" s="3">
        <v>0</v>
      </c>
      <c r="S95" s="4">
        <v>0</v>
      </c>
      <c r="T95" s="4">
        <v>0</v>
      </c>
      <c r="U95" s="4">
        <v>0</v>
      </c>
      <c r="V95" s="4">
        <v>0</v>
      </c>
      <c r="W95" s="51" t="s">
        <v>77</v>
      </c>
      <c r="X95" s="51" t="s">
        <v>77</v>
      </c>
      <c r="Y95" s="4">
        <v>0</v>
      </c>
      <c r="Z95" s="4">
        <v>0</v>
      </c>
      <c r="AA95" s="4">
        <f t="shared" si="251"/>
        <v>0</v>
      </c>
      <c r="AB95" s="4">
        <f t="shared" si="291"/>
        <v>0</v>
      </c>
      <c r="AC95" s="99">
        <f t="shared" si="292"/>
        <v>0</v>
      </c>
      <c r="AD95" s="4">
        <v>0</v>
      </c>
      <c r="AE95" s="4">
        <v>0</v>
      </c>
      <c r="AF95" s="4">
        <f t="shared" si="293"/>
        <v>0</v>
      </c>
      <c r="AG95" s="4">
        <f t="shared" si="294"/>
        <v>0</v>
      </c>
      <c r="AH95" s="76">
        <v>80</v>
      </c>
      <c r="AI95" s="76">
        <v>120</v>
      </c>
      <c r="AJ95" s="76">
        <f t="shared" si="230"/>
        <v>100</v>
      </c>
      <c r="AK95" s="76">
        <f t="shared" si="272"/>
        <v>80</v>
      </c>
      <c r="AL95" s="76">
        <f t="shared" si="273"/>
        <v>120</v>
      </c>
      <c r="AM95" s="76">
        <f t="shared" si="274"/>
        <v>100</v>
      </c>
      <c r="AN95" s="104">
        <v>0.1</v>
      </c>
      <c r="AO95" s="76">
        <v>0</v>
      </c>
      <c r="AP95" s="76">
        <f t="shared" si="284"/>
        <v>112</v>
      </c>
      <c r="AQ95" s="76">
        <f t="shared" si="285"/>
        <v>168</v>
      </c>
      <c r="AR95" s="76">
        <f t="shared" si="281"/>
        <v>140</v>
      </c>
      <c r="AS95" s="76">
        <v>100</v>
      </c>
      <c r="AT95" s="76">
        <v>275</v>
      </c>
      <c r="AU95" s="76">
        <f t="shared" si="235"/>
        <v>187.5</v>
      </c>
      <c r="AV95" s="76">
        <f t="shared" si="275"/>
        <v>100</v>
      </c>
      <c r="AW95" s="76">
        <f t="shared" si="276"/>
        <v>275</v>
      </c>
      <c r="AX95" s="76">
        <f t="shared" si="277"/>
        <v>187.5</v>
      </c>
      <c r="AY95" s="51">
        <v>0</v>
      </c>
      <c r="AZ95" s="51">
        <v>0.1</v>
      </c>
      <c r="BA95" s="51">
        <v>0</v>
      </c>
      <c r="BB95" s="327" t="s">
        <v>291</v>
      </c>
      <c r="BC95" s="76">
        <f t="shared" si="242"/>
        <v>123.20000000000002</v>
      </c>
      <c r="BD95" s="76">
        <f t="shared" si="243"/>
        <v>184.8</v>
      </c>
      <c r="BE95" s="76">
        <f t="shared" si="280"/>
        <v>154</v>
      </c>
      <c r="BF95" s="76">
        <f t="shared" si="240"/>
        <v>100</v>
      </c>
      <c r="BG95" s="76">
        <f t="shared" si="241"/>
        <v>275</v>
      </c>
      <c r="BH95" s="76">
        <f t="shared" si="241"/>
        <v>187.5</v>
      </c>
      <c r="BI95" s="4">
        <v>10</v>
      </c>
      <c r="BJ95" s="76">
        <v>40</v>
      </c>
      <c r="BK95" s="76">
        <f t="shared" si="278"/>
        <v>80</v>
      </c>
      <c r="BL95" s="111">
        <f t="shared" si="260"/>
        <v>39.632109456550396</v>
      </c>
      <c r="BM95" s="4">
        <f t="shared" si="261"/>
        <v>0</v>
      </c>
      <c r="BN95" s="4">
        <f t="shared" si="282"/>
        <v>0</v>
      </c>
      <c r="BO95" s="4">
        <f t="shared" si="262"/>
        <v>0</v>
      </c>
      <c r="BP95" s="4">
        <f t="shared" si="283"/>
        <v>0</v>
      </c>
      <c r="BQ95" s="324">
        <f t="shared" si="286"/>
        <v>0</v>
      </c>
      <c r="BR95" s="324">
        <f t="shared" si="287"/>
        <v>0</v>
      </c>
      <c r="BS95" s="324">
        <f t="shared" si="288"/>
        <v>0</v>
      </c>
      <c r="BT95" s="324">
        <f t="shared" si="289"/>
        <v>0</v>
      </c>
      <c r="BU95" s="76">
        <f t="shared" si="290"/>
        <v>2490.6644392262474</v>
      </c>
      <c r="BV95" s="188" t="s">
        <v>77</v>
      </c>
      <c r="BW95" s="78" t="s">
        <v>77</v>
      </c>
      <c r="BX95" s="78" t="s">
        <v>77</v>
      </c>
      <c r="BY95" s="78" t="s">
        <v>77</v>
      </c>
      <c r="BZ95" s="78" t="s">
        <v>77</v>
      </c>
      <c r="CA95" s="78" t="s">
        <v>77</v>
      </c>
      <c r="CB95" s="78" t="s">
        <v>77</v>
      </c>
      <c r="CC95" s="78" t="s">
        <v>77</v>
      </c>
      <c r="CD95" s="78" t="s">
        <v>77</v>
      </c>
      <c r="CE95" s="78" t="s">
        <v>77</v>
      </c>
      <c r="CF95" s="78" t="s">
        <v>77</v>
      </c>
      <c r="CG95" s="78" t="s">
        <v>77</v>
      </c>
      <c r="CH95" s="78" t="s">
        <v>77</v>
      </c>
      <c r="CI95" s="42" t="s">
        <v>77</v>
      </c>
      <c r="CJ95" s="42" t="s">
        <v>77</v>
      </c>
      <c r="CK95" s="42" t="s">
        <v>77</v>
      </c>
      <c r="CL95" s="42" t="s">
        <v>77</v>
      </c>
      <c r="CM95" s="78" t="s">
        <v>77</v>
      </c>
      <c r="CN95" s="78" t="s">
        <v>77</v>
      </c>
      <c r="CO95" s="78" t="s">
        <v>77</v>
      </c>
      <c r="CP95" s="78" t="s">
        <v>77</v>
      </c>
      <c r="CQ95" s="78" t="s">
        <v>77</v>
      </c>
      <c r="CR95" s="78" t="s">
        <v>77</v>
      </c>
      <c r="CS95" s="78" t="s">
        <v>77</v>
      </c>
      <c r="CT95" s="78" t="s">
        <v>77</v>
      </c>
      <c r="CU95" s="78" t="s">
        <v>77</v>
      </c>
      <c r="CV95" s="78" t="s">
        <v>77</v>
      </c>
      <c r="CW95" s="78" t="s">
        <v>77</v>
      </c>
      <c r="CX95" s="78" t="s">
        <v>77</v>
      </c>
      <c r="CY95" s="286" t="s">
        <v>312</v>
      </c>
      <c r="CZ95" s="285" t="s">
        <v>77</v>
      </c>
      <c r="DA95" s="285" t="s">
        <v>57</v>
      </c>
      <c r="DB95" s="285" t="s">
        <v>77</v>
      </c>
      <c r="DC95" s="285" t="s">
        <v>56</v>
      </c>
      <c r="DD95" s="275" t="s">
        <v>267</v>
      </c>
      <c r="DE95" s="275" t="s">
        <v>268</v>
      </c>
      <c r="DF95" s="285" t="s">
        <v>57</v>
      </c>
      <c r="DG95" s="285" t="s">
        <v>57</v>
      </c>
      <c r="DH95" s="285" t="s">
        <v>57</v>
      </c>
      <c r="DI95" s="285" t="s">
        <v>57</v>
      </c>
      <c r="DJ95" s="272" t="s">
        <v>77</v>
      </c>
      <c r="DK95" s="272" t="s">
        <v>77</v>
      </c>
      <c r="DL95" s="272" t="s">
        <v>77</v>
      </c>
      <c r="DM95" s="272" t="s">
        <v>77</v>
      </c>
      <c r="DN95" s="272" t="s">
        <v>77</v>
      </c>
      <c r="DO95" s="520"/>
      <c r="DP95" s="520"/>
      <c r="DS95" s="272"/>
      <c r="DT95" s="113"/>
      <c r="DU95" s="28"/>
      <c r="DV95" s="28"/>
      <c r="DW95" s="28"/>
      <c r="DX95" s="28"/>
      <c r="DY95" s="28"/>
      <c r="DZ95" s="28"/>
      <c r="EA95" s="28"/>
      <c r="EB95" s="28"/>
    </row>
    <row r="96" spans="1:132" ht="280.5" customHeight="1" x14ac:dyDescent="0.2">
      <c r="A96" s="766"/>
      <c r="B96" s="778" t="s">
        <v>43</v>
      </c>
      <c r="C96" s="84"/>
      <c r="D96" s="235">
        <v>906</v>
      </c>
      <c r="E96" s="65" t="s">
        <v>418</v>
      </c>
      <c r="F96" s="11" t="s">
        <v>77</v>
      </c>
      <c r="G96" s="11" t="s">
        <v>77</v>
      </c>
      <c r="H96" s="11" t="s">
        <v>77</v>
      </c>
      <c r="I96" s="275" t="s">
        <v>460</v>
      </c>
      <c r="J96" s="70" t="s">
        <v>496</v>
      </c>
      <c r="K96" s="285"/>
      <c r="L96" s="6" t="s">
        <v>54</v>
      </c>
      <c r="M96" s="308" t="s">
        <v>77</v>
      </c>
      <c r="N96" s="308" t="s">
        <v>77</v>
      </c>
      <c r="O96" s="304">
        <v>1</v>
      </c>
      <c r="P96" s="303" t="s">
        <v>77</v>
      </c>
      <c r="Q96" s="3">
        <v>0</v>
      </c>
      <c r="R96" s="3">
        <v>0</v>
      </c>
      <c r="S96" s="4">
        <v>0</v>
      </c>
      <c r="T96" s="4">
        <v>0</v>
      </c>
      <c r="U96" s="4">
        <v>0</v>
      </c>
      <c r="V96" s="4">
        <v>0</v>
      </c>
      <c r="W96" s="51" t="s">
        <v>77</v>
      </c>
      <c r="X96" s="51" t="s">
        <v>77</v>
      </c>
      <c r="Y96" s="4">
        <v>0</v>
      </c>
      <c r="Z96" s="4">
        <v>0</v>
      </c>
      <c r="AA96" s="4">
        <f t="shared" si="251"/>
        <v>0</v>
      </c>
      <c r="AB96" s="4">
        <f t="shared" si="291"/>
        <v>0</v>
      </c>
      <c r="AC96" s="99">
        <f t="shared" si="292"/>
        <v>0</v>
      </c>
      <c r="AD96" s="4">
        <v>0</v>
      </c>
      <c r="AE96" s="4">
        <v>0</v>
      </c>
      <c r="AF96" s="4">
        <f t="shared" si="293"/>
        <v>0</v>
      </c>
      <c r="AG96" s="4">
        <f t="shared" si="294"/>
        <v>0</v>
      </c>
      <c r="AH96" s="76">
        <v>55</v>
      </c>
      <c r="AI96" s="76">
        <v>130</v>
      </c>
      <c r="AJ96" s="76">
        <f t="shared" si="230"/>
        <v>92.5</v>
      </c>
      <c r="AK96" s="76">
        <f t="shared" si="272"/>
        <v>55</v>
      </c>
      <c r="AL96" s="76">
        <f t="shared" si="273"/>
        <v>130</v>
      </c>
      <c r="AM96" s="76">
        <f t="shared" si="274"/>
        <v>92.5</v>
      </c>
      <c r="AN96" s="104">
        <v>0.1</v>
      </c>
      <c r="AO96" s="76">
        <v>0</v>
      </c>
      <c r="AP96" s="76">
        <f t="shared" si="284"/>
        <v>77</v>
      </c>
      <c r="AQ96" s="76">
        <f t="shared" si="285"/>
        <v>182</v>
      </c>
      <c r="AR96" s="76">
        <f t="shared" si="281"/>
        <v>129.5</v>
      </c>
      <c r="AS96" s="76">
        <v>100</v>
      </c>
      <c r="AT96" s="76">
        <v>200</v>
      </c>
      <c r="AU96" s="76">
        <f t="shared" si="235"/>
        <v>150</v>
      </c>
      <c r="AV96" s="76">
        <f t="shared" si="275"/>
        <v>100</v>
      </c>
      <c r="AW96" s="76">
        <f t="shared" si="276"/>
        <v>200</v>
      </c>
      <c r="AX96" s="76">
        <f t="shared" si="277"/>
        <v>150</v>
      </c>
      <c r="AY96" s="51">
        <v>0</v>
      </c>
      <c r="AZ96" s="51">
        <v>0.1</v>
      </c>
      <c r="BA96" s="51">
        <v>0</v>
      </c>
      <c r="BB96" s="327" t="s">
        <v>291</v>
      </c>
      <c r="BC96" s="76">
        <f t="shared" si="242"/>
        <v>84.7</v>
      </c>
      <c r="BD96" s="76">
        <f t="shared" si="243"/>
        <v>200.20000000000002</v>
      </c>
      <c r="BE96" s="76">
        <f t="shared" si="280"/>
        <v>142.45000000000002</v>
      </c>
      <c r="BF96" s="76">
        <f t="shared" si="240"/>
        <v>100</v>
      </c>
      <c r="BG96" s="76">
        <f t="shared" si="241"/>
        <v>200</v>
      </c>
      <c r="BH96" s="76">
        <f t="shared" si="241"/>
        <v>150</v>
      </c>
      <c r="BI96" s="4">
        <v>10</v>
      </c>
      <c r="BJ96" s="76">
        <v>40</v>
      </c>
      <c r="BK96" s="76">
        <f t="shared" si="278"/>
        <v>80</v>
      </c>
      <c r="BL96" s="111">
        <f t="shared" si="260"/>
        <v>39.632109456550396</v>
      </c>
      <c r="BM96" s="4">
        <f t="shared" si="261"/>
        <v>0</v>
      </c>
      <c r="BN96" s="4">
        <f t="shared" si="282"/>
        <v>0</v>
      </c>
      <c r="BO96" s="4">
        <f t="shared" si="262"/>
        <v>0</v>
      </c>
      <c r="BP96" s="4">
        <f t="shared" si="283"/>
        <v>0</v>
      </c>
      <c r="BQ96" s="324">
        <f t="shared" si="286"/>
        <v>0</v>
      </c>
      <c r="BR96" s="324">
        <f t="shared" si="287"/>
        <v>0</v>
      </c>
      <c r="BS96" s="324">
        <f t="shared" si="288"/>
        <v>0</v>
      </c>
      <c r="BT96" s="324">
        <f t="shared" si="289"/>
        <v>0</v>
      </c>
      <c r="BU96" s="76">
        <f t="shared" si="290"/>
        <v>2011.7815513809981</v>
      </c>
      <c r="BV96" s="188" t="s">
        <v>77</v>
      </c>
      <c r="BW96" s="78" t="s">
        <v>77</v>
      </c>
      <c r="BX96" s="78" t="s">
        <v>77</v>
      </c>
      <c r="BY96" s="78" t="s">
        <v>77</v>
      </c>
      <c r="BZ96" s="78" t="s">
        <v>77</v>
      </c>
      <c r="CA96" s="78" t="s">
        <v>77</v>
      </c>
      <c r="CB96" s="78" t="s">
        <v>77</v>
      </c>
      <c r="CC96" s="78" t="s">
        <v>77</v>
      </c>
      <c r="CD96" s="78" t="s">
        <v>77</v>
      </c>
      <c r="CE96" s="78" t="s">
        <v>77</v>
      </c>
      <c r="CF96" s="78" t="s">
        <v>77</v>
      </c>
      <c r="CG96" s="78" t="s">
        <v>77</v>
      </c>
      <c r="CH96" s="78" t="s">
        <v>77</v>
      </c>
      <c r="CI96" s="42" t="s">
        <v>77</v>
      </c>
      <c r="CJ96" s="42" t="s">
        <v>77</v>
      </c>
      <c r="CK96" s="42" t="s">
        <v>77</v>
      </c>
      <c r="CL96" s="42" t="s">
        <v>77</v>
      </c>
      <c r="CM96" s="78" t="s">
        <v>77</v>
      </c>
      <c r="CN96" s="78" t="s">
        <v>77</v>
      </c>
      <c r="CO96" s="78" t="s">
        <v>77</v>
      </c>
      <c r="CP96" s="78" t="s">
        <v>77</v>
      </c>
      <c r="CQ96" s="78" t="s">
        <v>77</v>
      </c>
      <c r="CR96" s="78" t="s">
        <v>77</v>
      </c>
      <c r="CS96" s="78" t="s">
        <v>77</v>
      </c>
      <c r="CT96" s="78" t="s">
        <v>77</v>
      </c>
      <c r="CU96" s="78" t="s">
        <v>77</v>
      </c>
      <c r="CV96" s="78" t="s">
        <v>77</v>
      </c>
      <c r="CW96" s="78" t="s">
        <v>77</v>
      </c>
      <c r="CX96" s="78" t="s">
        <v>77</v>
      </c>
      <c r="CY96" s="286" t="s">
        <v>312</v>
      </c>
      <c r="CZ96" s="285" t="s">
        <v>77</v>
      </c>
      <c r="DA96" s="285" t="s">
        <v>56</v>
      </c>
      <c r="DB96" s="285" t="s">
        <v>77</v>
      </c>
      <c r="DC96" s="285" t="s">
        <v>56</v>
      </c>
      <c r="DD96" s="271" t="s">
        <v>269</v>
      </c>
      <c r="DE96" s="271" t="s">
        <v>457</v>
      </c>
      <c r="DF96" s="285" t="s">
        <v>57</v>
      </c>
      <c r="DG96" s="285" t="s">
        <v>57</v>
      </c>
      <c r="DH96" s="285" t="s">
        <v>57</v>
      </c>
      <c r="DI96" s="285" t="s">
        <v>57</v>
      </c>
      <c r="DJ96" s="272" t="s">
        <v>77</v>
      </c>
      <c r="DK96" s="272" t="s">
        <v>77</v>
      </c>
      <c r="DL96" s="272" t="s">
        <v>77</v>
      </c>
      <c r="DM96" s="272" t="s">
        <v>77</v>
      </c>
      <c r="DN96" s="272" t="s">
        <v>77</v>
      </c>
      <c r="DO96" s="520"/>
      <c r="DP96" s="520"/>
      <c r="DS96" s="272"/>
      <c r="DT96" s="113"/>
      <c r="DU96" s="28"/>
      <c r="DV96" s="28"/>
      <c r="DW96" s="28"/>
      <c r="DX96" s="28"/>
      <c r="DY96" s="28"/>
      <c r="DZ96" s="28"/>
      <c r="EA96" s="28"/>
      <c r="EB96" s="28"/>
    </row>
    <row r="97" spans="1:133" ht="316.5" customHeight="1" x14ac:dyDescent="0.2">
      <c r="A97" s="766"/>
      <c r="B97" s="778"/>
      <c r="C97" s="84"/>
      <c r="D97" s="235">
        <v>907</v>
      </c>
      <c r="E97" s="65" t="s">
        <v>419</v>
      </c>
      <c r="F97" s="11" t="s">
        <v>77</v>
      </c>
      <c r="G97" s="11" t="s">
        <v>77</v>
      </c>
      <c r="H97" s="11" t="s">
        <v>77</v>
      </c>
      <c r="I97" s="275" t="s">
        <v>460</v>
      </c>
      <c r="J97" s="70" t="s">
        <v>225</v>
      </c>
      <c r="K97" s="285"/>
      <c r="L97" s="6" t="s">
        <v>54</v>
      </c>
      <c r="M97" s="308" t="s">
        <v>77</v>
      </c>
      <c r="N97" s="308" t="s">
        <v>77</v>
      </c>
      <c r="O97" s="304">
        <v>1</v>
      </c>
      <c r="P97" s="303" t="s">
        <v>77</v>
      </c>
      <c r="Q97" s="3">
        <v>0</v>
      </c>
      <c r="R97" s="3">
        <v>0</v>
      </c>
      <c r="S97" s="4">
        <v>0</v>
      </c>
      <c r="T97" s="4">
        <v>0</v>
      </c>
      <c r="U97" s="4">
        <v>0</v>
      </c>
      <c r="V97" s="4">
        <v>0</v>
      </c>
      <c r="W97" s="51" t="s">
        <v>77</v>
      </c>
      <c r="X97" s="51" t="s">
        <v>77</v>
      </c>
      <c r="Y97" s="4">
        <v>0</v>
      </c>
      <c r="Z97" s="4">
        <v>0</v>
      </c>
      <c r="AA97" s="4">
        <f t="shared" si="251"/>
        <v>0</v>
      </c>
      <c r="AB97" s="4">
        <f t="shared" si="291"/>
        <v>0</v>
      </c>
      <c r="AC97" s="99">
        <f t="shared" si="292"/>
        <v>0</v>
      </c>
      <c r="AD97" s="4">
        <v>0</v>
      </c>
      <c r="AE97" s="4">
        <v>0</v>
      </c>
      <c r="AF97" s="4">
        <f t="shared" si="293"/>
        <v>0</v>
      </c>
      <c r="AG97" s="4">
        <f t="shared" si="294"/>
        <v>0</v>
      </c>
      <c r="AH97" s="76">
        <v>70</v>
      </c>
      <c r="AI97" s="76">
        <v>150</v>
      </c>
      <c r="AJ97" s="76">
        <f t="shared" si="230"/>
        <v>110</v>
      </c>
      <c r="AK97" s="76">
        <f t="shared" si="272"/>
        <v>70</v>
      </c>
      <c r="AL97" s="76">
        <f t="shared" si="273"/>
        <v>150</v>
      </c>
      <c r="AM97" s="76">
        <f t="shared" si="274"/>
        <v>110</v>
      </c>
      <c r="AN97" s="104">
        <v>0.2</v>
      </c>
      <c r="AO97" s="76">
        <v>0</v>
      </c>
      <c r="AP97" s="76">
        <f t="shared" si="284"/>
        <v>98</v>
      </c>
      <c r="AQ97" s="76">
        <f t="shared" si="285"/>
        <v>210</v>
      </c>
      <c r="AR97" s="76">
        <f t="shared" si="281"/>
        <v>154</v>
      </c>
      <c r="AS97" s="76">
        <v>9</v>
      </c>
      <c r="AT97" s="76">
        <v>52</v>
      </c>
      <c r="AU97" s="76">
        <f t="shared" si="235"/>
        <v>30.5</v>
      </c>
      <c r="AV97" s="76">
        <f t="shared" si="275"/>
        <v>9</v>
      </c>
      <c r="AW97" s="76">
        <f t="shared" si="276"/>
        <v>52</v>
      </c>
      <c r="AX97" s="76">
        <f t="shared" si="277"/>
        <v>30.5</v>
      </c>
      <c r="AY97" s="51">
        <v>0</v>
      </c>
      <c r="AZ97" s="51">
        <v>0.1</v>
      </c>
      <c r="BA97" s="51">
        <v>0</v>
      </c>
      <c r="BB97" s="327" t="s">
        <v>291</v>
      </c>
      <c r="BC97" s="76">
        <f t="shared" si="242"/>
        <v>107.80000000000001</v>
      </c>
      <c r="BD97" s="76">
        <f t="shared" si="243"/>
        <v>231.00000000000003</v>
      </c>
      <c r="BE97" s="76">
        <f t="shared" si="280"/>
        <v>169.4</v>
      </c>
      <c r="BF97" s="76">
        <f t="shared" si="240"/>
        <v>9</v>
      </c>
      <c r="BG97" s="76">
        <f t="shared" si="241"/>
        <v>52</v>
      </c>
      <c r="BH97" s="76">
        <f t="shared" si="241"/>
        <v>30.5</v>
      </c>
      <c r="BI97" s="4">
        <v>10</v>
      </c>
      <c r="BJ97" s="76">
        <v>50</v>
      </c>
      <c r="BK97" s="76">
        <f t="shared" si="278"/>
        <v>100</v>
      </c>
      <c r="BL97" s="111">
        <f t="shared" si="260"/>
        <v>49.540136820687998</v>
      </c>
      <c r="BM97" s="4">
        <f t="shared" si="261"/>
        <v>0</v>
      </c>
      <c r="BN97" s="4">
        <f t="shared" si="282"/>
        <v>0</v>
      </c>
      <c r="BO97" s="4">
        <f t="shared" si="262"/>
        <v>0</v>
      </c>
      <c r="BP97" s="4">
        <f t="shared" si="283"/>
        <v>0</v>
      </c>
      <c r="BQ97" s="324">
        <f t="shared" si="286"/>
        <v>0</v>
      </c>
      <c r="BR97" s="324">
        <f t="shared" si="287"/>
        <v>0</v>
      </c>
      <c r="BS97" s="324">
        <f t="shared" si="288"/>
        <v>0</v>
      </c>
      <c r="BT97" s="324">
        <f t="shared" si="289"/>
        <v>0</v>
      </c>
      <c r="BU97" s="76">
        <f t="shared" si="290"/>
        <v>549.49741544746962</v>
      </c>
      <c r="BV97" s="188" t="s">
        <v>77</v>
      </c>
      <c r="BW97" s="78" t="s">
        <v>77</v>
      </c>
      <c r="BX97" s="78" t="s">
        <v>77</v>
      </c>
      <c r="BY97" s="78" t="s">
        <v>77</v>
      </c>
      <c r="BZ97" s="78" t="s">
        <v>77</v>
      </c>
      <c r="CA97" s="78" t="s">
        <v>77</v>
      </c>
      <c r="CB97" s="78" t="s">
        <v>77</v>
      </c>
      <c r="CC97" s="78" t="s">
        <v>77</v>
      </c>
      <c r="CD97" s="78" t="s">
        <v>77</v>
      </c>
      <c r="CE97" s="78" t="s">
        <v>77</v>
      </c>
      <c r="CF97" s="78" t="s">
        <v>77</v>
      </c>
      <c r="CG97" s="78" t="s">
        <v>77</v>
      </c>
      <c r="CH97" s="78" t="s">
        <v>77</v>
      </c>
      <c r="CI97" s="42" t="s">
        <v>77</v>
      </c>
      <c r="CJ97" s="42" t="s">
        <v>77</v>
      </c>
      <c r="CK97" s="42" t="s">
        <v>77</v>
      </c>
      <c r="CL97" s="42" t="s">
        <v>77</v>
      </c>
      <c r="CM97" s="78" t="s">
        <v>77</v>
      </c>
      <c r="CN97" s="78" t="s">
        <v>77</v>
      </c>
      <c r="CO97" s="78" t="s">
        <v>77</v>
      </c>
      <c r="CP97" s="78" t="s">
        <v>77</v>
      </c>
      <c r="CQ97" s="78" t="s">
        <v>77</v>
      </c>
      <c r="CR97" s="78" t="s">
        <v>77</v>
      </c>
      <c r="CS97" s="78" t="s">
        <v>77</v>
      </c>
      <c r="CT97" s="78" t="s">
        <v>77</v>
      </c>
      <c r="CU97" s="78" t="s">
        <v>77</v>
      </c>
      <c r="CV97" s="78" t="s">
        <v>77</v>
      </c>
      <c r="CW97" s="78" t="s">
        <v>77</v>
      </c>
      <c r="CX97" s="78" t="s">
        <v>77</v>
      </c>
      <c r="CY97" s="286" t="s">
        <v>312</v>
      </c>
      <c r="CZ97" s="285" t="s">
        <v>77</v>
      </c>
      <c r="DA97" s="285" t="s">
        <v>56</v>
      </c>
      <c r="DB97" s="285" t="s">
        <v>77</v>
      </c>
      <c r="DC97" s="285" t="s">
        <v>56</v>
      </c>
      <c r="DD97" s="271" t="s">
        <v>306</v>
      </c>
      <c r="DE97" s="271" t="s">
        <v>458</v>
      </c>
      <c r="DF97" s="285" t="s">
        <v>57</v>
      </c>
      <c r="DG97" s="285" t="s">
        <v>57</v>
      </c>
      <c r="DH97" s="285" t="s">
        <v>57</v>
      </c>
      <c r="DI97" s="285" t="s">
        <v>57</v>
      </c>
      <c r="DJ97" s="272" t="s">
        <v>77</v>
      </c>
      <c r="DK97" s="272" t="s">
        <v>77</v>
      </c>
      <c r="DL97" s="272" t="s">
        <v>77</v>
      </c>
      <c r="DM97" s="272" t="s">
        <v>77</v>
      </c>
      <c r="DN97" s="272" t="s">
        <v>77</v>
      </c>
      <c r="DO97" s="520"/>
      <c r="DP97" s="520"/>
      <c r="DS97" s="272"/>
      <c r="DT97" s="113"/>
      <c r="DU97" s="28"/>
      <c r="DV97" s="28"/>
      <c r="DW97" s="28"/>
      <c r="DX97" s="28"/>
      <c r="DY97" s="28"/>
      <c r="DZ97" s="28"/>
      <c r="EA97" s="28"/>
      <c r="EB97" s="28"/>
    </row>
    <row r="98" spans="1:133" ht="409.5" customHeight="1" x14ac:dyDescent="0.2">
      <c r="A98" s="766"/>
      <c r="B98" s="277" t="s">
        <v>52</v>
      </c>
      <c r="C98" s="84"/>
      <c r="D98" s="235">
        <v>908</v>
      </c>
      <c r="E98" s="65" t="s">
        <v>420</v>
      </c>
      <c r="F98" s="11" t="s">
        <v>77</v>
      </c>
      <c r="G98" s="11" t="s">
        <v>77</v>
      </c>
      <c r="H98" s="11" t="s">
        <v>77</v>
      </c>
      <c r="I98" s="275" t="s">
        <v>460</v>
      </c>
      <c r="J98" s="70" t="s">
        <v>459</v>
      </c>
      <c r="K98" s="285"/>
      <c r="L98" s="6" t="s">
        <v>54</v>
      </c>
      <c r="M98" s="308" t="s">
        <v>77</v>
      </c>
      <c r="N98" s="312">
        <v>0</v>
      </c>
      <c r="O98" s="304">
        <v>1</v>
      </c>
      <c r="P98" s="303" t="s">
        <v>77</v>
      </c>
      <c r="Q98" s="3">
        <v>0</v>
      </c>
      <c r="R98" s="3">
        <v>0</v>
      </c>
      <c r="S98" s="4">
        <v>0</v>
      </c>
      <c r="T98" s="4">
        <v>0</v>
      </c>
      <c r="U98" s="4">
        <v>0</v>
      </c>
      <c r="V98" s="4">
        <v>0</v>
      </c>
      <c r="W98" s="51" t="s">
        <v>77</v>
      </c>
      <c r="X98" s="51" t="s">
        <v>77</v>
      </c>
      <c r="Y98" s="292">
        <v>0</v>
      </c>
      <c r="Z98" s="292">
        <v>0</v>
      </c>
      <c r="AA98" s="292">
        <f t="shared" si="251"/>
        <v>0</v>
      </c>
      <c r="AB98" s="292">
        <f t="shared" si="291"/>
        <v>0</v>
      </c>
      <c r="AC98" s="146">
        <f t="shared" si="292"/>
        <v>0</v>
      </c>
      <c r="AD98" s="292">
        <v>0</v>
      </c>
      <c r="AE98" s="292">
        <v>0</v>
      </c>
      <c r="AF98" s="292">
        <f t="shared" si="293"/>
        <v>0</v>
      </c>
      <c r="AG98" s="292">
        <f t="shared" si="294"/>
        <v>0</v>
      </c>
      <c r="AH98" s="76">
        <v>125</v>
      </c>
      <c r="AI98" s="76">
        <v>200</v>
      </c>
      <c r="AJ98" s="76">
        <f t="shared" si="230"/>
        <v>162.5</v>
      </c>
      <c r="AK98" s="294">
        <f t="shared" si="272"/>
        <v>125</v>
      </c>
      <c r="AL98" s="294">
        <f t="shared" si="273"/>
        <v>200</v>
      </c>
      <c r="AM98" s="294">
        <f t="shared" si="274"/>
        <v>162.5</v>
      </c>
      <c r="AN98" s="104">
        <v>0.2</v>
      </c>
      <c r="AO98" s="76">
        <v>0</v>
      </c>
      <c r="AP98" s="76">
        <f t="shared" si="284"/>
        <v>175</v>
      </c>
      <c r="AQ98" s="76">
        <f t="shared" si="285"/>
        <v>280</v>
      </c>
      <c r="AR98" s="76">
        <f t="shared" si="281"/>
        <v>227.5</v>
      </c>
      <c r="AS98" s="76">
        <v>205</v>
      </c>
      <c r="AT98" s="76">
        <v>510</v>
      </c>
      <c r="AU98" s="76">
        <f t="shared" si="235"/>
        <v>357.5</v>
      </c>
      <c r="AV98" s="294">
        <f t="shared" si="275"/>
        <v>205</v>
      </c>
      <c r="AW98" s="294">
        <f t="shared" si="276"/>
        <v>510</v>
      </c>
      <c r="AX98" s="294">
        <f t="shared" si="277"/>
        <v>357.5</v>
      </c>
      <c r="AY98" s="51">
        <v>0</v>
      </c>
      <c r="AZ98" s="51">
        <v>0.1</v>
      </c>
      <c r="BA98" s="51">
        <v>0</v>
      </c>
      <c r="BB98" s="327" t="s">
        <v>291</v>
      </c>
      <c r="BC98" s="76">
        <f t="shared" si="242"/>
        <v>192.50000000000003</v>
      </c>
      <c r="BD98" s="76">
        <f t="shared" si="243"/>
        <v>308</v>
      </c>
      <c r="BE98" s="294">
        <f t="shared" si="280"/>
        <v>250.25000000000003</v>
      </c>
      <c r="BF98" s="76">
        <f t="shared" si="240"/>
        <v>205</v>
      </c>
      <c r="BG98" s="76">
        <f t="shared" si="241"/>
        <v>510</v>
      </c>
      <c r="BH98" s="294">
        <f t="shared" si="241"/>
        <v>357.5</v>
      </c>
      <c r="BI98" s="4">
        <v>10</v>
      </c>
      <c r="BJ98" s="76">
        <v>65</v>
      </c>
      <c r="BK98" s="294">
        <f t="shared" si="278"/>
        <v>130</v>
      </c>
      <c r="BL98" s="111">
        <f t="shared" si="260"/>
        <v>64.402177866894405</v>
      </c>
      <c r="BM98" s="4">
        <f t="shared" si="261"/>
        <v>0</v>
      </c>
      <c r="BN98" s="4">
        <f t="shared" si="282"/>
        <v>0</v>
      </c>
      <c r="BO98" s="4">
        <f t="shared" si="262"/>
        <v>0</v>
      </c>
      <c r="BP98" s="4">
        <f t="shared" si="283"/>
        <v>0</v>
      </c>
      <c r="BQ98" s="324">
        <f t="shared" si="286"/>
        <v>0</v>
      </c>
      <c r="BR98" s="324">
        <f t="shared" si="287"/>
        <v>0</v>
      </c>
      <c r="BS98" s="324">
        <f t="shared" si="288"/>
        <v>0</v>
      </c>
      <c r="BT98" s="324">
        <f t="shared" si="289"/>
        <v>0</v>
      </c>
      <c r="BU98" s="76">
        <f t="shared" si="290"/>
        <v>4705.4901974580453</v>
      </c>
      <c r="BV98" s="188" t="s">
        <v>77</v>
      </c>
      <c r="BW98" s="78" t="s">
        <v>77</v>
      </c>
      <c r="BX98" s="78" t="s">
        <v>77</v>
      </c>
      <c r="BY98" s="78" t="s">
        <v>77</v>
      </c>
      <c r="BZ98" s="78" t="s">
        <v>77</v>
      </c>
      <c r="CA98" s="78" t="s">
        <v>77</v>
      </c>
      <c r="CB98" s="78" t="s">
        <v>77</v>
      </c>
      <c r="CC98" s="78" t="s">
        <v>77</v>
      </c>
      <c r="CD98" s="78" t="s">
        <v>77</v>
      </c>
      <c r="CE98" s="78" t="s">
        <v>77</v>
      </c>
      <c r="CF98" s="78" t="s">
        <v>77</v>
      </c>
      <c r="CG98" s="78" t="s">
        <v>77</v>
      </c>
      <c r="CH98" s="78" t="s">
        <v>77</v>
      </c>
      <c r="CI98" s="42" t="s">
        <v>77</v>
      </c>
      <c r="CJ98" s="42" t="s">
        <v>77</v>
      </c>
      <c r="CK98" s="42" t="s">
        <v>77</v>
      </c>
      <c r="CL98" s="42" t="s">
        <v>77</v>
      </c>
      <c r="CM98" s="78" t="s">
        <v>77</v>
      </c>
      <c r="CN98" s="78" t="s">
        <v>77</v>
      </c>
      <c r="CO98" s="78" t="s">
        <v>77</v>
      </c>
      <c r="CP98" s="78" t="s">
        <v>77</v>
      </c>
      <c r="CQ98" s="78" t="s">
        <v>77</v>
      </c>
      <c r="CR98" s="78" t="s">
        <v>77</v>
      </c>
      <c r="CS98" s="78" t="s">
        <v>77</v>
      </c>
      <c r="CT98" s="78" t="s">
        <v>77</v>
      </c>
      <c r="CU98" s="78" t="s">
        <v>77</v>
      </c>
      <c r="CV98" s="78" t="s">
        <v>77</v>
      </c>
      <c r="CW98" s="78" t="s">
        <v>77</v>
      </c>
      <c r="CX98" s="78" t="s">
        <v>77</v>
      </c>
      <c r="CY98" s="286" t="s">
        <v>312</v>
      </c>
      <c r="CZ98" s="285" t="s">
        <v>77</v>
      </c>
      <c r="DA98" s="285" t="s">
        <v>56</v>
      </c>
      <c r="DB98" s="285" t="s">
        <v>77</v>
      </c>
      <c r="DC98" s="285" t="s">
        <v>56</v>
      </c>
      <c r="DD98" s="271" t="s">
        <v>226</v>
      </c>
      <c r="DE98" s="271" t="s">
        <v>270</v>
      </c>
      <c r="DF98" s="285" t="s">
        <v>57</v>
      </c>
      <c r="DG98" s="285" t="s">
        <v>57</v>
      </c>
      <c r="DH98" s="285" t="s">
        <v>57</v>
      </c>
      <c r="DI98" s="285" t="s">
        <v>57</v>
      </c>
      <c r="DJ98" s="289" t="s">
        <v>77</v>
      </c>
      <c r="DK98" s="289" t="s">
        <v>77</v>
      </c>
      <c r="DL98" s="289" t="s">
        <v>77</v>
      </c>
      <c r="DM98" s="289" t="s">
        <v>77</v>
      </c>
      <c r="DN98" s="289" t="s">
        <v>77</v>
      </c>
      <c r="DO98" s="517"/>
      <c r="DP98" s="517"/>
      <c r="DS98" s="272"/>
      <c r="DT98" s="113"/>
      <c r="DU98" s="28"/>
      <c r="DV98" s="28"/>
      <c r="DW98" s="28"/>
      <c r="DX98" s="28"/>
      <c r="DY98" s="28"/>
      <c r="DZ98" s="28"/>
      <c r="EA98" s="28"/>
      <c r="EB98" s="28"/>
    </row>
    <row r="99" spans="1:133" ht="307.5" customHeight="1" thickBot="1" x14ac:dyDescent="0.25">
      <c r="A99" s="767"/>
      <c r="B99" s="71" t="s">
        <v>53</v>
      </c>
      <c r="C99" s="87"/>
      <c r="D99" s="238">
        <v>909</v>
      </c>
      <c r="E99" s="72" t="s">
        <v>227</v>
      </c>
      <c r="F99" s="20" t="s">
        <v>77</v>
      </c>
      <c r="G99" s="20" t="s">
        <v>77</v>
      </c>
      <c r="H99" s="20" t="s">
        <v>77</v>
      </c>
      <c r="I99" s="102" t="s">
        <v>460</v>
      </c>
      <c r="J99" s="72" t="s">
        <v>228</v>
      </c>
      <c r="K99" s="115"/>
      <c r="L99" s="5" t="s">
        <v>54</v>
      </c>
      <c r="M99" s="311" t="s">
        <v>77</v>
      </c>
      <c r="N99" s="313" t="s">
        <v>77</v>
      </c>
      <c r="O99" s="305">
        <v>1</v>
      </c>
      <c r="P99" s="305" t="s">
        <v>77</v>
      </c>
      <c r="Q99" s="138">
        <v>0</v>
      </c>
      <c r="R99" s="138">
        <v>0</v>
      </c>
      <c r="S99" s="331">
        <v>0</v>
      </c>
      <c r="T99" s="331">
        <v>0</v>
      </c>
      <c r="U99" s="331">
        <v>0</v>
      </c>
      <c r="V99" s="331">
        <v>0</v>
      </c>
      <c r="W99" s="52" t="s">
        <v>77</v>
      </c>
      <c r="X99" s="196" t="s">
        <v>77</v>
      </c>
      <c r="Y99" s="147">
        <v>0</v>
      </c>
      <c r="Z99" s="147">
        <v>0</v>
      </c>
      <c r="AA99" s="147">
        <f t="shared" si="251"/>
        <v>0</v>
      </c>
      <c r="AB99" s="147">
        <f t="shared" si="291"/>
        <v>0</v>
      </c>
      <c r="AC99" s="148">
        <f t="shared" si="292"/>
        <v>0</v>
      </c>
      <c r="AD99" s="147">
        <v>0</v>
      </c>
      <c r="AE99" s="147">
        <v>0</v>
      </c>
      <c r="AF99" s="147">
        <f t="shared" si="293"/>
        <v>0</v>
      </c>
      <c r="AG99" s="147">
        <f t="shared" si="294"/>
        <v>0</v>
      </c>
      <c r="AH99" s="114">
        <v>175</v>
      </c>
      <c r="AI99" s="114">
        <v>255</v>
      </c>
      <c r="AJ99" s="114">
        <f t="shared" si="230"/>
        <v>215</v>
      </c>
      <c r="AK99" s="142">
        <f t="shared" si="272"/>
        <v>175</v>
      </c>
      <c r="AL99" s="142">
        <f t="shared" si="273"/>
        <v>255</v>
      </c>
      <c r="AM99" s="142">
        <f t="shared" si="274"/>
        <v>215</v>
      </c>
      <c r="AN99" s="332">
        <v>0.2</v>
      </c>
      <c r="AO99" s="77">
        <v>0</v>
      </c>
      <c r="AP99" s="77">
        <f t="shared" si="284"/>
        <v>244.99999999999997</v>
      </c>
      <c r="AQ99" s="77">
        <f t="shared" si="285"/>
        <v>357</v>
      </c>
      <c r="AR99" s="114">
        <f t="shared" si="281"/>
        <v>301</v>
      </c>
      <c r="AS99" s="77">
        <v>115</v>
      </c>
      <c r="AT99" s="77">
        <v>330</v>
      </c>
      <c r="AU99" s="114">
        <f t="shared" si="235"/>
        <v>222.5</v>
      </c>
      <c r="AV99" s="142">
        <f t="shared" si="275"/>
        <v>115</v>
      </c>
      <c r="AW99" s="142">
        <f t="shared" si="276"/>
        <v>330</v>
      </c>
      <c r="AX99" s="142">
        <f t="shared" si="277"/>
        <v>222.5</v>
      </c>
      <c r="AY99" s="52">
        <v>0</v>
      </c>
      <c r="AZ99" s="52">
        <v>0.1</v>
      </c>
      <c r="BA99" s="52">
        <v>0</v>
      </c>
      <c r="BB99" s="333" t="s">
        <v>291</v>
      </c>
      <c r="BC99" s="77">
        <f t="shared" si="242"/>
        <v>269.5</v>
      </c>
      <c r="BD99" s="77">
        <f t="shared" si="243"/>
        <v>392.70000000000005</v>
      </c>
      <c r="BE99" s="142">
        <f t="shared" si="280"/>
        <v>331.1</v>
      </c>
      <c r="BF99" s="77">
        <f t="shared" si="240"/>
        <v>115</v>
      </c>
      <c r="BG99" s="77">
        <f t="shared" si="241"/>
        <v>330</v>
      </c>
      <c r="BH99" s="142">
        <f t="shared" si="241"/>
        <v>222.5</v>
      </c>
      <c r="BI99" s="57">
        <v>10</v>
      </c>
      <c r="BJ99" s="77">
        <v>90</v>
      </c>
      <c r="BK99" s="202">
        <f t="shared" si="278"/>
        <v>180</v>
      </c>
      <c r="BL99" s="203">
        <f t="shared" si="260"/>
        <v>89.172246277238401</v>
      </c>
      <c r="BM99" s="57">
        <f t="shared" si="261"/>
        <v>0</v>
      </c>
      <c r="BN99" s="57">
        <f t="shared" si="282"/>
        <v>0</v>
      </c>
      <c r="BO99" s="57">
        <f t="shared" si="262"/>
        <v>0</v>
      </c>
      <c r="BP99" s="57">
        <f t="shared" si="283"/>
        <v>0</v>
      </c>
      <c r="BQ99" s="350">
        <f t="shared" si="286"/>
        <v>0</v>
      </c>
      <c r="BR99" s="350">
        <f t="shared" si="287"/>
        <v>0</v>
      </c>
      <c r="BS99" s="350">
        <f t="shared" si="288"/>
        <v>0</v>
      </c>
      <c r="BT99" s="350">
        <f t="shared" si="289"/>
        <v>0</v>
      </c>
      <c r="BU99" s="77">
        <f t="shared" si="290"/>
        <v>3103.9418012151468</v>
      </c>
      <c r="BV99" s="79" t="s">
        <v>77</v>
      </c>
      <c r="BW99" s="79" t="s">
        <v>77</v>
      </c>
      <c r="BX99" s="79" t="s">
        <v>77</v>
      </c>
      <c r="BY99" s="79" t="s">
        <v>77</v>
      </c>
      <c r="BZ99" s="79" t="s">
        <v>77</v>
      </c>
      <c r="CA99" s="79" t="s">
        <v>77</v>
      </c>
      <c r="CB99" s="79" t="s">
        <v>77</v>
      </c>
      <c r="CC99" s="79" t="s">
        <v>77</v>
      </c>
      <c r="CD99" s="79" t="s">
        <v>77</v>
      </c>
      <c r="CE99" s="79" t="s">
        <v>77</v>
      </c>
      <c r="CF99" s="79" t="s">
        <v>77</v>
      </c>
      <c r="CG99" s="79" t="s">
        <v>77</v>
      </c>
      <c r="CH99" s="79" t="s">
        <v>77</v>
      </c>
      <c r="CI99" s="43" t="s">
        <v>77</v>
      </c>
      <c r="CJ99" s="43" t="s">
        <v>77</v>
      </c>
      <c r="CK99" s="43" t="s">
        <v>77</v>
      </c>
      <c r="CL99" s="43" t="s">
        <v>77</v>
      </c>
      <c r="CM99" s="79" t="s">
        <v>77</v>
      </c>
      <c r="CN99" s="79" t="s">
        <v>77</v>
      </c>
      <c r="CO99" s="79" t="s">
        <v>77</v>
      </c>
      <c r="CP99" s="79" t="s">
        <v>77</v>
      </c>
      <c r="CQ99" s="79" t="s">
        <v>77</v>
      </c>
      <c r="CR99" s="79" t="s">
        <v>77</v>
      </c>
      <c r="CS99" s="79" t="s">
        <v>77</v>
      </c>
      <c r="CT99" s="79" t="s">
        <v>77</v>
      </c>
      <c r="CU99" s="79" t="s">
        <v>77</v>
      </c>
      <c r="CV99" s="79" t="s">
        <v>77</v>
      </c>
      <c r="CW99" s="79" t="s">
        <v>77</v>
      </c>
      <c r="CX99" s="79" t="s">
        <v>77</v>
      </c>
      <c r="CY99" s="73" t="s">
        <v>313</v>
      </c>
      <c r="CZ99" s="115" t="s">
        <v>77</v>
      </c>
      <c r="DA99" s="115" t="s">
        <v>56</v>
      </c>
      <c r="DB99" s="115" t="s">
        <v>77</v>
      </c>
      <c r="DC99" s="115" t="s">
        <v>56</v>
      </c>
      <c r="DD99" s="72" t="s">
        <v>229</v>
      </c>
      <c r="DE99" s="72" t="s">
        <v>230</v>
      </c>
      <c r="DF99" s="115" t="s">
        <v>57</v>
      </c>
      <c r="DG99" s="115" t="s">
        <v>57</v>
      </c>
      <c r="DH99" s="115" t="s">
        <v>57</v>
      </c>
      <c r="DI99" s="115" t="s">
        <v>57</v>
      </c>
      <c r="DJ99" s="181" t="s">
        <v>77</v>
      </c>
      <c r="DK99" s="181" t="s">
        <v>77</v>
      </c>
      <c r="DL99" s="181" t="s">
        <v>77</v>
      </c>
      <c r="DM99" s="181" t="s">
        <v>77</v>
      </c>
      <c r="DN99" s="181" t="s">
        <v>77</v>
      </c>
      <c r="DO99" s="522"/>
      <c r="DP99" s="522"/>
      <c r="DS99" s="115"/>
      <c r="DT99" s="116"/>
      <c r="DU99" s="29"/>
      <c r="DV99" s="29"/>
      <c r="DW99" s="29"/>
      <c r="DX99" s="29"/>
      <c r="DY99" s="29"/>
      <c r="DZ99" s="29"/>
      <c r="EA99" s="29"/>
      <c r="EB99" s="29"/>
    </row>
    <row r="100" spans="1:133" ht="13.15" customHeight="1" thickTop="1" x14ac:dyDescent="0.2">
      <c r="A100" s="154"/>
      <c r="B100" s="283"/>
      <c r="C100" s="283"/>
      <c r="D100" s="234"/>
      <c r="E100" s="28"/>
      <c r="F100" s="16"/>
      <c r="G100" s="16"/>
      <c r="H100" s="16"/>
      <c r="I100" s="28"/>
      <c r="J100" s="28"/>
      <c r="K100" s="16"/>
      <c r="L100" s="16"/>
      <c r="M100" s="136"/>
      <c r="N100" s="7"/>
      <c r="O100" s="7"/>
      <c r="P100" s="54"/>
      <c r="Q100" s="54"/>
      <c r="R100" s="54"/>
      <c r="S100" s="54"/>
      <c r="T100" s="54"/>
      <c r="U100" s="54"/>
      <c r="V100" s="54"/>
      <c r="W100" s="47"/>
      <c r="X100" s="47"/>
      <c r="Y100" s="54"/>
      <c r="Z100" s="54"/>
      <c r="AA100" s="155"/>
      <c r="AB100" s="155"/>
      <c r="AC100" s="155"/>
      <c r="AD100" s="54"/>
      <c r="AE100" s="54"/>
      <c r="AF100" s="54"/>
      <c r="AG100" s="54"/>
      <c r="AH100" s="16"/>
      <c r="AI100" s="16"/>
      <c r="AJ100" s="16"/>
      <c r="AK100" s="44"/>
      <c r="AL100" s="44"/>
      <c r="AM100" s="44"/>
      <c r="AN100" s="58"/>
      <c r="AO100" s="58"/>
      <c r="AP100" s="44"/>
      <c r="AQ100" s="44"/>
      <c r="AR100" s="44"/>
      <c r="AS100" s="44"/>
      <c r="AT100" s="44"/>
      <c r="AU100" s="44"/>
      <c r="AV100" s="44"/>
      <c r="AW100" s="44"/>
      <c r="AX100" s="44"/>
      <c r="AY100" s="47"/>
      <c r="AZ100" s="47"/>
      <c r="BA100" s="47"/>
      <c r="BB100" s="7"/>
      <c r="BC100" s="44"/>
      <c r="BD100" s="44"/>
      <c r="BE100" s="44"/>
      <c r="BF100" s="44"/>
      <c r="BG100" s="44"/>
      <c r="BH100" s="44"/>
      <c r="BI100" s="62"/>
      <c r="BJ100" s="62"/>
      <c r="BK100" s="62"/>
      <c r="BL100" s="62"/>
      <c r="BM100" s="44"/>
      <c r="BN100" s="44"/>
      <c r="BO100" s="44"/>
      <c r="BP100" s="44"/>
      <c r="BQ100" s="44"/>
      <c r="BR100" s="44"/>
      <c r="BS100" s="44"/>
      <c r="BT100" s="44"/>
      <c r="BU100" s="44"/>
      <c r="BV100" s="44"/>
      <c r="BW100" s="44"/>
      <c r="BX100" s="44"/>
      <c r="BY100" s="44"/>
      <c r="BZ100" s="44"/>
      <c r="CA100" s="44"/>
      <c r="CB100" s="44"/>
      <c r="CC100" s="44"/>
      <c r="CD100" s="44"/>
      <c r="CE100" s="44"/>
      <c r="CF100" s="44"/>
      <c r="CG100" s="44"/>
      <c r="CH100" s="44"/>
      <c r="CI100" s="44"/>
      <c r="CJ100" s="44"/>
      <c r="CK100" s="44"/>
      <c r="CL100" s="44"/>
      <c r="CM100" s="44"/>
      <c r="CN100" s="44"/>
      <c r="CO100" s="44"/>
      <c r="CP100" s="44"/>
      <c r="CQ100" s="44"/>
      <c r="CR100" s="44"/>
      <c r="CS100" s="44"/>
      <c r="CT100" s="44"/>
      <c r="CU100" s="44"/>
      <c r="CV100" s="44"/>
      <c r="CW100" s="44"/>
      <c r="CX100" s="44"/>
      <c r="CY100" s="39"/>
      <c r="CZ100" s="39"/>
      <c r="DA100" s="39"/>
      <c r="DB100" s="39"/>
      <c r="DC100" s="39"/>
      <c r="DD100" s="28"/>
      <c r="DE100" s="28"/>
      <c r="DF100" s="16"/>
      <c r="DG100" s="16"/>
      <c r="DH100" s="16"/>
      <c r="DI100" s="16"/>
      <c r="DJ100" s="16"/>
      <c r="DK100" s="16"/>
      <c r="DL100" s="16"/>
      <c r="DM100" s="16"/>
      <c r="DN100" s="16"/>
      <c r="DO100" s="16"/>
      <c r="DP100" s="16"/>
      <c r="DS100" s="156"/>
      <c r="DT100" s="17"/>
      <c r="DU100" s="17"/>
      <c r="DV100" s="17"/>
      <c r="DW100" s="17"/>
      <c r="DX100" s="17"/>
      <c r="DY100" s="17"/>
      <c r="DZ100" s="17"/>
      <c r="EA100" s="17"/>
      <c r="EB100" s="17"/>
    </row>
    <row r="101" spans="1:133" ht="12.75" customHeight="1" x14ac:dyDescent="0.2">
      <c r="A101" s="738" t="s">
        <v>540</v>
      </c>
      <c r="B101" s="738"/>
      <c r="C101" s="738"/>
      <c r="D101" s="239"/>
      <c r="F101" s="187"/>
      <c r="G101" s="637" t="s">
        <v>541</v>
      </c>
      <c r="H101" s="752"/>
      <c r="I101" s="752"/>
      <c r="J101" s="752"/>
      <c r="Q101" s="654" t="s">
        <v>231</v>
      </c>
      <c r="R101" s="654"/>
      <c r="S101" s="654"/>
      <c r="T101" s="654"/>
      <c r="U101" s="654"/>
      <c r="V101" s="654"/>
      <c r="W101" s="654"/>
      <c r="X101" s="654"/>
      <c r="Z101" s="796" t="s">
        <v>493</v>
      </c>
      <c r="AA101" s="796"/>
      <c r="AB101" s="796"/>
      <c r="AC101" s="1"/>
      <c r="AE101" s="784" t="s">
        <v>482</v>
      </c>
      <c r="AF101" s="784"/>
      <c r="AG101" s="784"/>
      <c r="AH101" s="199" t="s">
        <v>535</v>
      </c>
      <c r="AI101" s="50"/>
      <c r="AJ101" s="100"/>
      <c r="AK101" s="100"/>
      <c r="AL101" s="100"/>
      <c r="AM101" s="50"/>
      <c r="AN101" s="50"/>
      <c r="AO101" s="50"/>
      <c r="AP101" s="50"/>
      <c r="AQ101" s="16"/>
      <c r="AR101" s="16"/>
      <c r="AS101" s="16"/>
      <c r="AT101" s="16"/>
      <c r="AU101" s="44"/>
      <c r="AV101" s="44"/>
      <c r="AW101" s="44"/>
      <c r="AX101" s="59"/>
      <c r="BY101" s="119"/>
      <c r="CG101" s="158"/>
      <c r="CH101" s="158"/>
      <c r="CI101" s="119"/>
      <c r="CJ101" s="119"/>
      <c r="CK101" s="119"/>
      <c r="CL101" s="119"/>
      <c r="CO101" s="119"/>
      <c r="CW101" s="158"/>
      <c r="CX101" s="158"/>
      <c r="CY101" s="120"/>
      <c r="CZ101" s="120"/>
      <c r="DA101" s="149"/>
      <c r="DB101" s="74"/>
      <c r="DC101" s="149" t="s">
        <v>55</v>
      </c>
      <c r="DD101" s="28"/>
      <c r="DE101" s="28"/>
      <c r="DF101" s="159" t="s">
        <v>56</v>
      </c>
      <c r="DG101" s="16"/>
      <c r="DH101" s="16"/>
      <c r="DI101" s="16"/>
      <c r="DJ101" s="268" t="s">
        <v>515</v>
      </c>
      <c r="DK101" s="268"/>
      <c r="DL101" s="268"/>
      <c r="DM101" s="268"/>
      <c r="DN101" s="268"/>
      <c r="DO101" s="268"/>
      <c r="DP101" s="268"/>
      <c r="DY101" s="17"/>
      <c r="DZ101" s="17"/>
      <c r="EA101" s="17"/>
      <c r="EB101" s="17"/>
    </row>
    <row r="102" spans="1:133" ht="15" customHeight="1" x14ac:dyDescent="0.2">
      <c r="A102" s="738"/>
      <c r="B102" s="738"/>
      <c r="C102" s="738"/>
      <c r="D102" s="239"/>
      <c r="F102" s="18"/>
      <c r="G102" s="752"/>
      <c r="H102" s="752"/>
      <c r="I102" s="752"/>
      <c r="J102" s="752"/>
      <c r="Q102" s="795" t="s">
        <v>497</v>
      </c>
      <c r="R102" s="795"/>
      <c r="S102" s="795"/>
      <c r="T102" s="795"/>
      <c r="U102" s="795"/>
      <c r="V102" s="795"/>
      <c r="W102" s="795"/>
      <c r="X102" s="795"/>
      <c r="Z102" s="797" t="s">
        <v>494</v>
      </c>
      <c r="AA102" s="797"/>
      <c r="AB102" s="797"/>
      <c r="AE102" s="800" t="s">
        <v>628</v>
      </c>
      <c r="AF102" s="800"/>
      <c r="AG102" s="800"/>
      <c r="AH102" s="130"/>
      <c r="AI102" s="50"/>
      <c r="AJ102" s="50"/>
      <c r="AK102" s="100"/>
      <c r="AL102" s="100"/>
      <c r="AM102" s="100"/>
      <c r="AN102" s="50"/>
      <c r="AO102" s="50"/>
      <c r="AP102" s="50"/>
      <c r="AQ102" s="50"/>
      <c r="AR102" s="16"/>
      <c r="AS102" s="16"/>
      <c r="AT102" s="16"/>
      <c r="AU102" s="16"/>
      <c r="AV102" s="48"/>
      <c r="AW102" s="36"/>
      <c r="AX102" s="36"/>
      <c r="AY102" s="58"/>
      <c r="AZ102" s="44"/>
      <c r="BA102" s="44"/>
      <c r="BB102" s="44"/>
      <c r="BC102" s="44"/>
      <c r="BD102" s="44"/>
      <c r="BE102" s="44"/>
      <c r="BF102" s="44"/>
      <c r="BG102" s="44"/>
      <c r="BH102" s="44"/>
      <c r="BI102" s="47"/>
      <c r="BJ102" s="47"/>
      <c r="BK102" s="47"/>
      <c r="BL102" s="7"/>
      <c r="BM102" s="44"/>
      <c r="BN102" s="44"/>
      <c r="BO102" s="44"/>
      <c r="BP102" s="44"/>
      <c r="BQ102" s="44"/>
      <c r="BR102" s="44"/>
      <c r="BS102" s="44"/>
      <c r="BT102" s="44"/>
      <c r="BU102" s="44"/>
      <c r="BV102" s="44"/>
      <c r="BW102" s="62"/>
      <c r="BX102" s="62"/>
      <c r="BY102" s="62"/>
      <c r="BZ102" s="62"/>
      <c r="CA102" s="44"/>
      <c r="CB102" s="44"/>
      <c r="CC102" s="44"/>
      <c r="CD102" s="44"/>
      <c r="CE102" s="44"/>
      <c r="CF102" s="44"/>
      <c r="CG102" s="119"/>
      <c r="CH102" s="119"/>
      <c r="CI102" s="158"/>
      <c r="CJ102" s="44"/>
      <c r="CK102" s="44"/>
      <c r="CL102" s="44"/>
      <c r="CM102" s="62"/>
      <c r="CN102" s="62"/>
      <c r="CO102" s="62"/>
      <c r="CP102" s="62"/>
      <c r="CQ102" s="44"/>
      <c r="CR102" s="44"/>
      <c r="CS102" s="44"/>
      <c r="CT102" s="44"/>
      <c r="CU102" s="44"/>
      <c r="CV102" s="44"/>
      <c r="CW102" s="119"/>
      <c r="CX102" s="119"/>
      <c r="CY102" s="44"/>
      <c r="CZ102" s="39"/>
      <c r="DA102" s="39"/>
      <c r="DB102" s="150" t="s">
        <v>57</v>
      </c>
      <c r="DC102" s="39"/>
      <c r="DD102" s="150" t="s">
        <v>7</v>
      </c>
      <c r="DE102" s="28"/>
      <c r="DF102" s="28"/>
      <c r="DG102" s="159" t="s">
        <v>57</v>
      </c>
      <c r="DH102" s="16"/>
      <c r="DI102" s="16"/>
      <c r="DJ102" s="16"/>
      <c r="DK102" s="268"/>
      <c r="DL102" s="268"/>
      <c r="DM102" s="268"/>
      <c r="DN102" s="268"/>
      <c r="DO102" s="268"/>
      <c r="DP102" s="268"/>
      <c r="DS102" s="268"/>
      <c r="DZ102" s="28"/>
      <c r="EA102" s="28"/>
      <c r="EB102" s="28"/>
      <c r="EC102" s="28"/>
    </row>
    <row r="103" spans="1:133" ht="15" customHeight="1" x14ac:dyDescent="0.2">
      <c r="A103" s="738"/>
      <c r="B103" s="738"/>
      <c r="C103" s="738"/>
      <c r="D103" s="239"/>
      <c r="F103" s="18"/>
      <c r="G103" s="752"/>
      <c r="H103" s="752"/>
      <c r="I103" s="752"/>
      <c r="J103" s="752"/>
      <c r="Z103" s="798"/>
      <c r="AA103" s="798"/>
      <c r="AB103" s="798"/>
      <c r="AE103" s="801"/>
      <c r="AF103" s="801"/>
      <c r="AG103" s="801"/>
      <c r="AH103" s="130"/>
      <c r="AI103" s="661" t="s">
        <v>500</v>
      </c>
      <c r="AJ103" s="661"/>
      <c r="AK103" s="661"/>
      <c r="AL103" s="661"/>
      <c r="AM103" s="661"/>
      <c r="AN103" s="661"/>
      <c r="AO103" s="661"/>
      <c r="AP103" s="661"/>
      <c r="AQ103" s="661"/>
      <c r="AR103" s="661"/>
      <c r="AS103" s="661"/>
      <c r="AT103" s="661"/>
      <c r="AU103" s="661"/>
      <c r="AV103" s="661"/>
      <c r="AW103" s="661"/>
      <c r="AX103" s="661"/>
      <c r="AY103" s="661"/>
      <c r="AZ103" s="36"/>
      <c r="BA103" s="841" t="s">
        <v>546</v>
      </c>
      <c r="BB103" s="841"/>
      <c r="BC103" s="841"/>
      <c r="BD103" s="841"/>
      <c r="BE103" s="841"/>
      <c r="BF103" s="841"/>
      <c r="BG103" s="841"/>
      <c r="BH103" s="841"/>
      <c r="BI103" s="841"/>
      <c r="BJ103" s="841"/>
      <c r="BK103" s="841"/>
      <c r="BL103" s="841"/>
      <c r="BM103" s="841"/>
      <c r="BN103" s="841"/>
      <c r="BO103" s="841"/>
      <c r="BP103" s="163"/>
      <c r="BQ103" s="782" t="s">
        <v>523</v>
      </c>
      <c r="BR103" s="782"/>
      <c r="BS103" s="782"/>
      <c r="BT103" s="782"/>
      <c r="BU103" s="782"/>
      <c r="BV103" s="782"/>
      <c r="BW103" s="782"/>
      <c r="BX103" s="782"/>
      <c r="BY103" s="782"/>
      <c r="BZ103" s="782"/>
      <c r="CA103" s="782"/>
      <c r="CB103" s="782"/>
      <c r="CC103" s="782"/>
      <c r="CD103" s="782"/>
      <c r="CE103" s="782"/>
      <c r="CF103" s="44"/>
      <c r="CG103" s="607" t="s">
        <v>545</v>
      </c>
      <c r="CH103" s="607"/>
      <c r="CI103" s="607"/>
      <c r="CJ103" s="607"/>
      <c r="CK103" s="607"/>
      <c r="CL103" s="607"/>
      <c r="CM103" s="607"/>
      <c r="CN103" s="607"/>
      <c r="CO103" s="607"/>
      <c r="CP103" s="607"/>
      <c r="CQ103" s="607"/>
      <c r="CR103" s="607"/>
      <c r="CS103" s="607"/>
      <c r="CT103" s="607"/>
      <c r="CU103" s="607"/>
      <c r="CV103" s="44"/>
      <c r="DI103" s="92"/>
      <c r="DJ103" s="92"/>
      <c r="DK103" s="268"/>
      <c r="DL103" s="268"/>
      <c r="DM103" s="268"/>
      <c r="DN103" s="268"/>
      <c r="DO103" s="268"/>
      <c r="DP103" s="268"/>
      <c r="DS103" s="268"/>
      <c r="DZ103" s="17"/>
      <c r="EA103" s="17"/>
      <c r="EB103" s="17"/>
      <c r="EC103" s="17"/>
    </row>
    <row r="104" spans="1:133" ht="15" customHeight="1" x14ac:dyDescent="0.2">
      <c r="A104" s="738"/>
      <c r="B104" s="738"/>
      <c r="C104" s="738"/>
      <c r="D104" s="239"/>
      <c r="F104" s="18"/>
      <c r="G104" s="752"/>
      <c r="H104" s="752"/>
      <c r="I104" s="752"/>
      <c r="J104" s="752"/>
      <c r="Q104" s="201" t="s">
        <v>375</v>
      </c>
      <c r="R104" s="200" t="s">
        <v>469</v>
      </c>
      <c r="S104" s="21"/>
      <c r="T104" s="200" t="s">
        <v>375</v>
      </c>
      <c r="U104" s="200" t="s">
        <v>469</v>
      </c>
      <c r="V104" s="54"/>
      <c r="W104" s="201" t="s">
        <v>375</v>
      </c>
      <c r="X104" s="200" t="s">
        <v>469</v>
      </c>
      <c r="Z104" s="798"/>
      <c r="AA104" s="798"/>
      <c r="AB104" s="798"/>
      <c r="AE104" s="801"/>
      <c r="AF104" s="801"/>
      <c r="AG104" s="801"/>
      <c r="AH104" s="130"/>
      <c r="AK104" s="1"/>
      <c r="AN104" s="125"/>
      <c r="AP104" s="131"/>
      <c r="AY104" s="125"/>
      <c r="AZ104" s="131"/>
      <c r="BA104" s="841"/>
      <c r="BB104" s="841"/>
      <c r="BC104" s="841"/>
      <c r="BD104" s="841"/>
      <c r="BE104" s="841"/>
      <c r="BF104" s="841"/>
      <c r="BG104" s="841"/>
      <c r="BH104" s="841"/>
      <c r="BI104" s="841"/>
      <c r="BJ104" s="841"/>
      <c r="BK104" s="841"/>
      <c r="BL104" s="841"/>
      <c r="BM104" s="841"/>
      <c r="BN104" s="841"/>
      <c r="BO104" s="841"/>
      <c r="BP104" s="163"/>
      <c r="BQ104" s="782"/>
      <c r="BR104" s="782"/>
      <c r="BS104" s="782"/>
      <c r="BT104" s="782"/>
      <c r="BU104" s="782"/>
      <c r="BV104" s="782"/>
      <c r="BW104" s="782"/>
      <c r="BX104" s="782"/>
      <c r="BY104" s="782"/>
      <c r="BZ104" s="782"/>
      <c r="CA104" s="782"/>
      <c r="CB104" s="782"/>
      <c r="CC104" s="782"/>
      <c r="CD104" s="782"/>
      <c r="CE104" s="782"/>
      <c r="CF104" s="44"/>
      <c r="CG104" s="283"/>
      <c r="CH104" s="283"/>
      <c r="CI104" s="283"/>
      <c r="CJ104" s="283"/>
      <c r="CK104" s="283"/>
      <c r="CL104" s="283"/>
      <c r="CM104" s="283"/>
      <c r="CN104" s="283"/>
      <c r="CV104" s="44"/>
      <c r="DI104" s="92"/>
      <c r="DJ104" s="92"/>
      <c r="DK104" s="268"/>
      <c r="DL104" s="268"/>
      <c r="DM104" s="268"/>
      <c r="DN104" s="268"/>
      <c r="DO104" s="268"/>
      <c r="DP104" s="268"/>
      <c r="DS104" s="268"/>
      <c r="DZ104" s="17"/>
      <c r="EA104" s="17"/>
      <c r="EB104" s="17"/>
      <c r="EC104" s="17"/>
    </row>
    <row r="105" spans="1:133" ht="25.5" customHeight="1" x14ac:dyDescent="0.2">
      <c r="A105" s="738"/>
      <c r="B105" s="738"/>
      <c r="C105" s="738"/>
      <c r="D105" s="239"/>
      <c r="F105" s="18"/>
      <c r="G105" s="752"/>
      <c r="H105" s="752"/>
      <c r="I105" s="752"/>
      <c r="J105" s="752"/>
      <c r="Q105" s="717" t="s">
        <v>627</v>
      </c>
      <c r="R105" s="717"/>
      <c r="S105" s="7"/>
      <c r="T105" s="717" t="s">
        <v>623</v>
      </c>
      <c r="U105" s="717"/>
      <c r="V105" s="54"/>
      <c r="W105" s="657" t="s">
        <v>93</v>
      </c>
      <c r="X105" s="657"/>
      <c r="Z105" s="799"/>
      <c r="AA105" s="799"/>
      <c r="AB105" s="799"/>
      <c r="AE105" s="802"/>
      <c r="AF105" s="802"/>
      <c r="AG105" s="802"/>
      <c r="AH105" s="130"/>
      <c r="AI105" s="661" t="s">
        <v>550</v>
      </c>
      <c r="AJ105" s="661"/>
      <c r="AK105" s="661"/>
      <c r="AL105" s="661"/>
      <c r="AM105" s="661"/>
      <c r="AN105" s="661"/>
      <c r="AO105" s="661"/>
      <c r="AP105" s="661"/>
      <c r="AQ105" s="661"/>
      <c r="AR105" s="661"/>
      <c r="AS105" s="661"/>
      <c r="AT105" s="661"/>
      <c r="AU105" s="661"/>
      <c r="AV105" s="661"/>
      <c r="AW105" s="661"/>
      <c r="AX105" s="661"/>
      <c r="AY105" s="661"/>
      <c r="AZ105" s="131"/>
      <c r="BA105" s="841"/>
      <c r="BB105" s="841"/>
      <c r="BC105" s="841"/>
      <c r="BD105" s="841"/>
      <c r="BE105" s="841"/>
      <c r="BF105" s="841"/>
      <c r="BG105" s="841"/>
      <c r="BH105" s="841"/>
      <c r="BI105" s="841"/>
      <c r="BJ105" s="841"/>
      <c r="BK105" s="841"/>
      <c r="BL105" s="841"/>
      <c r="BM105" s="841"/>
      <c r="BN105" s="841"/>
      <c r="BO105" s="841"/>
      <c r="BP105" s="163"/>
      <c r="BQ105" s="782"/>
      <c r="BR105" s="782"/>
      <c r="BS105" s="782"/>
      <c r="BT105" s="782"/>
      <c r="BU105" s="782"/>
      <c r="BV105" s="782"/>
      <c r="BW105" s="782"/>
      <c r="BX105" s="782"/>
      <c r="BY105" s="782"/>
      <c r="BZ105" s="782"/>
      <c r="CA105" s="782"/>
      <c r="CB105" s="782"/>
      <c r="CC105" s="782"/>
      <c r="CD105" s="782"/>
      <c r="CE105" s="782"/>
      <c r="CF105" s="119"/>
      <c r="CG105" s="607" t="s">
        <v>544</v>
      </c>
      <c r="CH105" s="607"/>
      <c r="CI105" s="607"/>
      <c r="CJ105" s="607"/>
      <c r="CK105" s="607"/>
      <c r="CL105" s="607"/>
      <c r="CM105" s="607"/>
      <c r="CN105" s="607"/>
      <c r="CO105" s="607"/>
      <c r="CP105" s="607"/>
      <c r="CQ105" s="607"/>
      <c r="CR105" s="607"/>
      <c r="CS105" s="607"/>
      <c r="CT105" s="607"/>
      <c r="CU105" s="607"/>
      <c r="CV105" s="119"/>
      <c r="DI105" s="166"/>
      <c r="DJ105" s="166"/>
      <c r="DK105" s="268"/>
      <c r="DL105" s="268"/>
      <c r="DM105" s="268"/>
      <c r="DN105" s="268"/>
      <c r="DO105" s="268"/>
      <c r="DP105" s="268"/>
      <c r="DS105" s="268"/>
      <c r="DZ105" s="17"/>
      <c r="EA105" s="17"/>
      <c r="EB105" s="17"/>
      <c r="EC105" s="17"/>
    </row>
    <row r="106" spans="1:133" ht="15" customHeight="1" x14ac:dyDescent="0.2">
      <c r="A106" s="738"/>
      <c r="B106" s="738"/>
      <c r="C106" s="738"/>
      <c r="D106" s="239"/>
      <c r="F106" s="18"/>
      <c r="G106" s="752"/>
      <c r="H106" s="752"/>
      <c r="I106" s="752"/>
      <c r="J106" s="752"/>
      <c r="Q106" s="718"/>
      <c r="R106" s="718"/>
      <c r="S106" s="121"/>
      <c r="T106" s="718"/>
      <c r="U106" s="718"/>
      <c r="V106" s="54"/>
      <c r="W106" s="658"/>
      <c r="X106" s="658"/>
      <c r="AH106" s="130"/>
      <c r="AK106" s="1"/>
      <c r="AN106" s="125"/>
      <c r="AP106" s="131"/>
      <c r="AY106" s="125"/>
      <c r="AZ106" s="131"/>
      <c r="BA106" s="841"/>
      <c r="BB106" s="841"/>
      <c r="BC106" s="841"/>
      <c r="BD106" s="841"/>
      <c r="BE106" s="841"/>
      <c r="BF106" s="841"/>
      <c r="BG106" s="841"/>
      <c r="BH106" s="841"/>
      <c r="BI106" s="841"/>
      <c r="BJ106" s="841"/>
      <c r="BK106" s="841"/>
      <c r="BL106" s="841"/>
      <c r="BM106" s="841"/>
      <c r="BN106" s="841"/>
      <c r="BO106" s="841"/>
      <c r="BP106" s="163"/>
      <c r="BQ106" s="632" t="s">
        <v>513</v>
      </c>
      <c r="BR106" s="632"/>
      <c r="BS106" s="632"/>
      <c r="BT106" s="632"/>
      <c r="BU106" s="632"/>
      <c r="BV106" s="632"/>
      <c r="BW106" s="632"/>
      <c r="BX106" s="632"/>
      <c r="BY106" s="632"/>
      <c r="BZ106" s="632"/>
      <c r="CA106" s="632"/>
      <c r="CB106" s="632"/>
      <c r="CC106" s="632"/>
      <c r="CD106" s="632"/>
      <c r="CE106" s="632"/>
      <c r="CF106" s="119"/>
      <c r="CG106" s="607"/>
      <c r="CH106" s="607"/>
      <c r="CI106" s="607"/>
      <c r="CJ106" s="607"/>
      <c r="CK106" s="607"/>
      <c r="CL106" s="607"/>
      <c r="CM106" s="607"/>
      <c r="CN106" s="607"/>
      <c r="CO106" s="607"/>
      <c r="CP106" s="607"/>
      <c r="CQ106" s="607"/>
      <c r="CR106" s="607"/>
      <c r="CS106" s="607"/>
      <c r="CT106" s="607"/>
      <c r="CU106" s="607"/>
      <c r="CV106" s="119"/>
      <c r="DI106" s="166"/>
      <c r="DJ106" s="166"/>
      <c r="DK106" s="268"/>
      <c r="DL106" s="268"/>
      <c r="DM106" s="268"/>
      <c r="DN106" s="268"/>
      <c r="DO106" s="268"/>
      <c r="DP106" s="268"/>
      <c r="DS106" s="268"/>
      <c r="DZ106" s="17"/>
      <c r="EA106" s="17"/>
      <c r="EB106" s="17"/>
      <c r="EC106" s="17"/>
    </row>
    <row r="107" spans="1:133" ht="15" customHeight="1" x14ac:dyDescent="0.2">
      <c r="A107" s="738"/>
      <c r="B107" s="738"/>
      <c r="C107" s="738"/>
      <c r="D107" s="239"/>
      <c r="F107" s="18"/>
      <c r="G107" s="752"/>
      <c r="H107" s="752"/>
      <c r="I107" s="752"/>
      <c r="J107" s="752"/>
      <c r="Q107" s="334">
        <v>20</v>
      </c>
      <c r="R107" s="334">
        <v>6</v>
      </c>
      <c r="S107" s="22"/>
      <c r="T107" s="334">
        <v>6</v>
      </c>
      <c r="U107" s="334">
        <v>1</v>
      </c>
      <c r="V107" s="54"/>
      <c r="W107" s="335">
        <v>5</v>
      </c>
      <c r="X107" s="335">
        <v>2</v>
      </c>
      <c r="Z107" s="39" t="s">
        <v>467</v>
      </c>
      <c r="AA107" s="183">
        <v>9702</v>
      </c>
      <c r="AB107" s="137">
        <v>40237</v>
      </c>
      <c r="AE107" s="158" t="s">
        <v>486</v>
      </c>
      <c r="AF107" s="336">
        <v>1</v>
      </c>
      <c r="AG107" s="182" t="s">
        <v>483</v>
      </c>
      <c r="AH107" s="130"/>
      <c r="AI107" s="629" t="s">
        <v>629</v>
      </c>
      <c r="AJ107" s="629"/>
      <c r="AK107" s="629"/>
      <c r="AL107" s="629"/>
      <c r="AM107" s="629"/>
      <c r="AN107" s="629"/>
      <c r="AO107" s="629"/>
      <c r="AP107" s="629"/>
      <c r="AQ107" s="629"/>
      <c r="AR107" s="629"/>
      <c r="AS107" s="629"/>
      <c r="AT107" s="629"/>
      <c r="AU107" s="629"/>
      <c r="AV107" s="629"/>
      <c r="AW107" s="629"/>
      <c r="AX107" s="629"/>
      <c r="AY107" s="629"/>
      <c r="AZ107" s="131"/>
      <c r="BB107" s="129"/>
      <c r="BC107" s="1"/>
      <c r="BI107" s="125"/>
      <c r="BM107" s="134"/>
      <c r="BP107" s="163"/>
      <c r="BQ107" s="632"/>
      <c r="BR107" s="632"/>
      <c r="BS107" s="632"/>
      <c r="BT107" s="632"/>
      <c r="BU107" s="632"/>
      <c r="BV107" s="632"/>
      <c r="BW107" s="632"/>
      <c r="BX107" s="632"/>
      <c r="BY107" s="632"/>
      <c r="BZ107" s="632"/>
      <c r="CA107" s="632"/>
      <c r="CB107" s="632"/>
      <c r="CC107" s="632"/>
      <c r="CD107" s="632"/>
      <c r="CE107" s="632"/>
      <c r="CF107" s="119"/>
      <c r="CG107" s="607"/>
      <c r="CH107" s="607"/>
      <c r="CI107" s="607"/>
      <c r="CJ107" s="607"/>
      <c r="CK107" s="607"/>
      <c r="CL107" s="607"/>
      <c r="CM107" s="607"/>
      <c r="CN107" s="607"/>
      <c r="CO107" s="607"/>
      <c r="CP107" s="607"/>
      <c r="CQ107" s="607"/>
      <c r="CR107" s="607"/>
      <c r="CS107" s="607"/>
      <c r="CT107" s="607"/>
      <c r="CU107" s="607"/>
      <c r="CV107" s="119"/>
      <c r="DI107" s="166"/>
      <c r="DJ107" s="166"/>
      <c r="DK107" s="268"/>
      <c r="DL107" s="268"/>
      <c r="DM107" s="268"/>
      <c r="DN107" s="268"/>
      <c r="DO107" s="268"/>
      <c r="DP107" s="268"/>
      <c r="DS107" s="268"/>
      <c r="DZ107" s="17"/>
      <c r="EA107" s="17"/>
      <c r="EB107" s="17"/>
      <c r="EC107" s="17"/>
    </row>
    <row r="108" spans="1:133" ht="12.75" customHeight="1" x14ac:dyDescent="0.2">
      <c r="A108" s="738"/>
      <c r="B108" s="738"/>
      <c r="C108" s="738"/>
      <c r="D108" s="239"/>
      <c r="F108" s="18"/>
      <c r="G108" s="752"/>
      <c r="H108" s="752"/>
      <c r="I108" s="752"/>
      <c r="J108" s="752"/>
      <c r="Q108" s="56"/>
      <c r="R108" s="162"/>
      <c r="S108" s="117"/>
      <c r="T108" s="118"/>
      <c r="U108" s="118"/>
      <c r="V108" s="54"/>
      <c r="W108" s="160"/>
      <c r="X108" s="160"/>
      <c r="Z108" s="44"/>
      <c r="AA108" s="44"/>
      <c r="AB108" s="44"/>
      <c r="AE108" s="158"/>
      <c r="AF108" s="158"/>
      <c r="AG108" s="158"/>
      <c r="AH108" s="130"/>
      <c r="AI108" s="629"/>
      <c r="AJ108" s="629"/>
      <c r="AK108" s="629"/>
      <c r="AL108" s="629"/>
      <c r="AM108" s="629"/>
      <c r="AN108" s="629"/>
      <c r="AO108" s="629"/>
      <c r="AP108" s="629"/>
      <c r="AQ108" s="629"/>
      <c r="AR108" s="629"/>
      <c r="AS108" s="629"/>
      <c r="AT108" s="629"/>
      <c r="AU108" s="629"/>
      <c r="AV108" s="629"/>
      <c r="AW108" s="629"/>
      <c r="AX108" s="629"/>
      <c r="AY108" s="629"/>
      <c r="AZ108" s="131"/>
      <c r="BA108" s="638" t="s">
        <v>512</v>
      </c>
      <c r="BB108" s="638"/>
      <c r="BC108" s="638"/>
      <c r="BD108" s="638"/>
      <c r="BE108" s="638"/>
      <c r="BF108" s="638"/>
      <c r="BG108" s="638"/>
      <c r="BH108" s="638"/>
      <c r="BI108" s="638"/>
      <c r="BJ108" s="638"/>
      <c r="BK108" s="638"/>
      <c r="BL108" s="638"/>
      <c r="BM108" s="638"/>
      <c r="BN108" s="638"/>
      <c r="BO108" s="638"/>
      <c r="BP108" s="163"/>
      <c r="BQ108" s="632"/>
      <c r="BR108" s="632"/>
      <c r="BS108" s="632"/>
      <c r="BT108" s="632"/>
      <c r="BU108" s="632"/>
      <c r="BV108" s="632"/>
      <c r="BW108" s="632"/>
      <c r="BX108" s="632"/>
      <c r="BY108" s="632"/>
      <c r="BZ108" s="632"/>
      <c r="CA108" s="632"/>
      <c r="CB108" s="632"/>
      <c r="CC108" s="632"/>
      <c r="CD108" s="632"/>
      <c r="CE108" s="632"/>
      <c r="CF108" s="119"/>
      <c r="CV108" s="119"/>
      <c r="CW108" s="119"/>
      <c r="CX108" s="119"/>
      <c r="CY108" s="119"/>
      <c r="CZ108" s="166"/>
      <c r="DI108" s="166"/>
      <c r="DJ108" s="166"/>
      <c r="DK108" s="268"/>
      <c r="DL108" s="268"/>
      <c r="DM108" s="268"/>
      <c r="DN108" s="268"/>
      <c r="DO108" s="268"/>
      <c r="DP108" s="268"/>
      <c r="DS108" s="268"/>
      <c r="DZ108" s="17"/>
      <c r="EA108" s="17"/>
      <c r="EB108" s="17"/>
      <c r="EC108" s="17"/>
    </row>
    <row r="109" spans="1:133" ht="12.75" customHeight="1" x14ac:dyDescent="0.2">
      <c r="A109" s="738"/>
      <c r="B109" s="738"/>
      <c r="C109" s="738"/>
      <c r="D109" s="239"/>
      <c r="F109" s="18"/>
      <c r="G109" s="752"/>
      <c r="H109" s="752"/>
      <c r="I109" s="752"/>
      <c r="J109" s="752"/>
      <c r="Q109" s="659" t="s">
        <v>18</v>
      </c>
      <c r="R109" s="659"/>
      <c r="S109" s="121"/>
      <c r="T109" s="656" t="s">
        <v>1</v>
      </c>
      <c r="U109" s="656"/>
      <c r="V109" s="54"/>
      <c r="W109" s="780" t="s">
        <v>21</v>
      </c>
      <c r="X109" s="780"/>
      <c r="Y109" s="1"/>
      <c r="Z109" s="161" t="s">
        <v>466</v>
      </c>
      <c r="AA109" s="337">
        <v>9702</v>
      </c>
      <c r="AB109" s="338">
        <v>40237</v>
      </c>
      <c r="AC109" s="130"/>
      <c r="AE109" s="158" t="s">
        <v>484</v>
      </c>
      <c r="AF109" s="339">
        <v>0.5</v>
      </c>
      <c r="AG109" s="182" t="s">
        <v>563</v>
      </c>
      <c r="AK109" s="1"/>
      <c r="AN109" s="125"/>
      <c r="AP109" s="131"/>
      <c r="AY109" s="125"/>
      <c r="AZ109" s="131"/>
      <c r="BB109" s="129"/>
      <c r="BC109" s="1"/>
      <c r="BI109" s="125"/>
      <c r="BM109" s="134"/>
      <c r="BP109" s="163"/>
      <c r="BQ109" s="632"/>
      <c r="BR109" s="632"/>
      <c r="BS109" s="632"/>
      <c r="BT109" s="632"/>
      <c r="BU109" s="632"/>
      <c r="BV109" s="632"/>
      <c r="BW109" s="632"/>
      <c r="BX109" s="632"/>
      <c r="BY109" s="632"/>
      <c r="BZ109" s="632"/>
      <c r="CA109" s="632"/>
      <c r="CB109" s="632"/>
      <c r="CC109" s="632"/>
      <c r="CD109" s="632"/>
      <c r="CE109" s="632"/>
      <c r="CF109" s="44"/>
      <c r="CG109" s="631" t="s">
        <v>633</v>
      </c>
      <c r="CH109" s="631"/>
      <c r="CI109" s="631"/>
      <c r="CJ109" s="631"/>
      <c r="CK109" s="631"/>
      <c r="CL109" s="631"/>
      <c r="CM109" s="631"/>
      <c r="CN109" s="631"/>
      <c r="CO109" s="631"/>
      <c r="CP109" s="631"/>
      <c r="CQ109" s="631"/>
      <c r="CR109" s="631"/>
      <c r="CS109" s="631"/>
      <c r="CT109" s="631"/>
      <c r="CU109" s="631"/>
      <c r="CV109" s="44"/>
      <c r="CW109" s="44"/>
      <c r="CX109" s="44"/>
      <c r="CY109" s="44"/>
      <c r="CZ109" s="166"/>
      <c r="DI109" s="284"/>
      <c r="DJ109" s="284"/>
      <c r="DK109" s="268"/>
      <c r="DL109" s="268"/>
      <c r="DM109" s="268"/>
      <c r="DN109" s="268"/>
      <c r="DO109" s="268"/>
      <c r="DP109" s="268"/>
      <c r="DS109" s="268"/>
      <c r="DZ109" s="17"/>
      <c r="EA109" s="17"/>
      <c r="EB109" s="17"/>
      <c r="EC109" s="17"/>
    </row>
    <row r="110" spans="1:133" ht="12.75" customHeight="1" x14ac:dyDescent="0.2">
      <c r="A110" s="738"/>
      <c r="B110" s="738"/>
      <c r="C110" s="738"/>
      <c r="D110" s="239"/>
      <c r="F110" s="18"/>
      <c r="G110" s="752"/>
      <c r="H110" s="752"/>
      <c r="I110" s="752"/>
      <c r="J110" s="752"/>
      <c r="Q110" s="334">
        <v>10</v>
      </c>
      <c r="R110" s="334">
        <v>2</v>
      </c>
      <c r="S110" s="22"/>
      <c r="T110" s="334">
        <v>2</v>
      </c>
      <c r="U110" s="334">
        <v>0.3</v>
      </c>
      <c r="V110" s="54"/>
      <c r="W110" s="334">
        <v>26.25</v>
      </c>
      <c r="X110" s="334">
        <v>6</v>
      </c>
      <c r="Z110" s="44"/>
      <c r="AA110" s="44"/>
      <c r="AB110" s="44"/>
      <c r="AE110" s="158"/>
      <c r="AF110" s="158"/>
      <c r="AG110" s="158"/>
      <c r="AH110" s="130"/>
      <c r="AI110" s="634" t="s">
        <v>621</v>
      </c>
      <c r="AJ110" s="634"/>
      <c r="AK110" s="634"/>
      <c r="AL110" s="634"/>
      <c r="AM110" s="634"/>
      <c r="AN110" s="634"/>
      <c r="AO110" s="634"/>
      <c r="AP110" s="634"/>
      <c r="AQ110" s="634"/>
      <c r="AR110" s="634"/>
      <c r="AS110" s="634"/>
      <c r="AT110" s="634"/>
      <c r="AU110" s="634"/>
      <c r="AV110" s="634"/>
      <c r="AW110" s="634"/>
      <c r="AX110" s="634"/>
      <c r="AY110" s="634"/>
      <c r="AZ110" s="131"/>
      <c r="BA110" s="638" t="s">
        <v>536</v>
      </c>
      <c r="BB110" s="638"/>
      <c r="BC110" s="638"/>
      <c r="BD110" s="638"/>
      <c r="BE110" s="638"/>
      <c r="BF110" s="638"/>
      <c r="BG110" s="638"/>
      <c r="BH110" s="638"/>
      <c r="BI110" s="638"/>
      <c r="BJ110" s="638"/>
      <c r="BK110" s="638"/>
      <c r="BL110" s="638"/>
      <c r="BM110" s="638"/>
      <c r="BN110" s="638"/>
      <c r="BO110" s="638"/>
      <c r="BP110" s="163"/>
      <c r="BQ110" s="185"/>
      <c r="BR110" s="185"/>
      <c r="BS110" s="185"/>
      <c r="BT110" s="185"/>
      <c r="BU110" s="185"/>
      <c r="BV110" s="185"/>
      <c r="BW110" s="185"/>
      <c r="BX110" s="185"/>
      <c r="BY110" s="185"/>
      <c r="BZ110" s="185"/>
      <c r="CA110" s="185"/>
      <c r="CB110" s="185"/>
      <c r="CC110" s="185"/>
      <c r="CD110" s="185"/>
      <c r="CE110" s="185"/>
      <c r="CF110" s="44"/>
      <c r="CG110" s="631"/>
      <c r="CH110" s="631"/>
      <c r="CI110" s="631"/>
      <c r="CJ110" s="631"/>
      <c r="CK110" s="631"/>
      <c r="CL110" s="631"/>
      <c r="CM110" s="631"/>
      <c r="CN110" s="631"/>
      <c r="CO110" s="631"/>
      <c r="CP110" s="631"/>
      <c r="CQ110" s="631"/>
      <c r="CR110" s="631"/>
      <c r="CS110" s="631"/>
      <c r="CT110" s="631"/>
      <c r="CU110" s="631"/>
      <c r="CV110" s="185"/>
      <c r="CW110" s="185"/>
      <c r="CX110" s="185"/>
      <c r="CY110" s="44"/>
      <c r="CZ110" s="166"/>
      <c r="DI110" s="92"/>
      <c r="DJ110" s="92"/>
      <c r="DK110" s="268"/>
      <c r="DL110" s="268"/>
      <c r="DM110" s="268"/>
      <c r="DN110" s="268"/>
      <c r="DO110" s="268"/>
      <c r="DP110" s="268"/>
      <c r="DS110" s="268"/>
      <c r="DZ110" s="17"/>
      <c r="EA110" s="17"/>
      <c r="EB110" s="17"/>
      <c r="EC110" s="17"/>
    </row>
    <row r="111" spans="1:133" ht="15" customHeight="1" x14ac:dyDescent="0.2">
      <c r="A111" s="738"/>
      <c r="B111" s="738"/>
      <c r="C111" s="738"/>
      <c r="D111" s="239"/>
      <c r="F111" s="18"/>
      <c r="G111" s="752"/>
      <c r="H111" s="752"/>
      <c r="I111" s="752"/>
      <c r="J111" s="752"/>
      <c r="Q111" s="56"/>
      <c r="R111" s="54"/>
      <c r="S111" s="22"/>
      <c r="T111" s="118"/>
      <c r="U111" s="118"/>
      <c r="V111" s="54"/>
      <c r="W111" s="160"/>
      <c r="X111" s="160"/>
      <c r="AE111" s="158"/>
      <c r="AF111" s="262">
        <f>AF109/AF107</f>
        <v>0.5</v>
      </c>
      <c r="AG111" s="182" t="s">
        <v>485</v>
      </c>
      <c r="AH111" s="130"/>
      <c r="AK111" s="1"/>
      <c r="AN111" s="125"/>
      <c r="AP111" s="131"/>
      <c r="AY111" s="125"/>
      <c r="AZ111" s="131"/>
      <c r="BA111" s="638"/>
      <c r="BB111" s="638"/>
      <c r="BC111" s="638"/>
      <c r="BD111" s="638"/>
      <c r="BE111" s="638"/>
      <c r="BF111" s="638"/>
      <c r="BG111" s="638"/>
      <c r="BH111" s="638"/>
      <c r="BI111" s="638"/>
      <c r="BJ111" s="638"/>
      <c r="BK111" s="638"/>
      <c r="BL111" s="638"/>
      <c r="BM111" s="638"/>
      <c r="BN111" s="638"/>
      <c r="BO111" s="638"/>
      <c r="BQ111" s="629" t="s">
        <v>514</v>
      </c>
      <c r="BR111" s="629"/>
      <c r="BS111" s="629"/>
      <c r="BT111" s="629"/>
      <c r="BU111" s="629"/>
      <c r="BV111" s="629"/>
      <c r="BW111" s="629"/>
      <c r="BX111" s="629"/>
      <c r="BY111" s="629"/>
      <c r="BZ111" s="629"/>
      <c r="CA111" s="629"/>
      <c r="CB111" s="629"/>
      <c r="CC111" s="629"/>
      <c r="CD111" s="629"/>
      <c r="CE111" s="629"/>
      <c r="CF111" s="44"/>
      <c r="CV111" s="44"/>
      <c r="CW111" s="44"/>
      <c r="CX111" s="44"/>
      <c r="CY111" s="44"/>
      <c r="CZ111" s="39"/>
      <c r="DI111" s="166"/>
      <c r="DJ111" s="166"/>
      <c r="DK111" s="268"/>
      <c r="DL111" s="268"/>
      <c r="DM111" s="268"/>
      <c r="DN111" s="268"/>
      <c r="DO111" s="268"/>
      <c r="DP111" s="268"/>
      <c r="DS111" s="268"/>
      <c r="DZ111" s="17"/>
      <c r="EA111" s="17"/>
      <c r="EB111" s="17"/>
      <c r="EC111" s="17"/>
    </row>
    <row r="112" spans="1:133" ht="15.75" customHeight="1" x14ac:dyDescent="0.2">
      <c r="A112" s="738"/>
      <c r="B112" s="738"/>
      <c r="C112" s="738"/>
      <c r="D112" s="239"/>
      <c r="F112" s="18"/>
      <c r="G112" s="752"/>
      <c r="H112" s="752"/>
      <c r="I112" s="752"/>
      <c r="J112" s="752"/>
      <c r="Q112" s="653" t="s">
        <v>470</v>
      </c>
      <c r="R112" s="653"/>
      <c r="S112" s="30"/>
      <c r="T112" s="656" t="s">
        <v>471</v>
      </c>
      <c r="U112" s="656"/>
      <c r="V112" s="54"/>
      <c r="W112" s="660" t="s">
        <v>575</v>
      </c>
      <c r="X112" s="660"/>
      <c r="AH112" s="130"/>
      <c r="AI112" s="635" t="s">
        <v>630</v>
      </c>
      <c r="AJ112" s="635"/>
      <c r="AK112" s="635"/>
      <c r="AL112" s="635"/>
      <c r="AM112" s="635"/>
      <c r="AN112" s="635"/>
      <c r="AO112" s="635"/>
      <c r="AP112" s="635"/>
      <c r="AQ112" s="635"/>
      <c r="AR112" s="635"/>
      <c r="AS112" s="635"/>
      <c r="AT112" s="635"/>
      <c r="AU112" s="635"/>
      <c r="AV112" s="635"/>
      <c r="AW112" s="635"/>
      <c r="AX112" s="635"/>
      <c r="AY112" s="635"/>
      <c r="AZ112" s="131"/>
      <c r="BA112" s="638"/>
      <c r="BB112" s="638"/>
      <c r="BC112" s="638"/>
      <c r="BD112" s="638"/>
      <c r="BE112" s="638"/>
      <c r="BF112" s="638"/>
      <c r="BG112" s="638"/>
      <c r="BH112" s="638"/>
      <c r="BI112" s="638"/>
      <c r="BJ112" s="638"/>
      <c r="BK112" s="638"/>
      <c r="BL112" s="638"/>
      <c r="BM112" s="638"/>
      <c r="BN112" s="638"/>
      <c r="BO112" s="638"/>
      <c r="BP112" s="186"/>
      <c r="BQ112" s="629"/>
      <c r="BR112" s="629"/>
      <c r="BS112" s="629"/>
      <c r="BT112" s="629"/>
      <c r="BU112" s="629"/>
      <c r="BV112" s="629"/>
      <c r="BW112" s="629"/>
      <c r="BX112" s="629"/>
      <c r="BY112" s="629"/>
      <c r="BZ112" s="629"/>
      <c r="CA112" s="629"/>
      <c r="CB112" s="629"/>
      <c r="CC112" s="629"/>
      <c r="CD112" s="629"/>
      <c r="CE112" s="629"/>
      <c r="CF112" s="184"/>
      <c r="CG112" s="630" t="s">
        <v>634</v>
      </c>
      <c r="CH112" s="630"/>
      <c r="CI112" s="630"/>
      <c r="CJ112" s="630"/>
      <c r="CK112" s="630"/>
      <c r="CL112" s="630"/>
      <c r="CM112" s="630"/>
      <c r="CN112" s="630"/>
      <c r="CO112" s="630"/>
      <c r="CP112" s="630"/>
      <c r="CQ112" s="630"/>
      <c r="CR112" s="630"/>
      <c r="CS112" s="630"/>
      <c r="CT112" s="630"/>
      <c r="CU112" s="630"/>
      <c r="CV112" s="184"/>
      <c r="CW112" s="184"/>
      <c r="CX112" s="184"/>
      <c r="CY112" s="184"/>
      <c r="CZ112" s="184"/>
      <c r="DI112" s="92"/>
      <c r="DJ112" s="92"/>
      <c r="DK112" s="268"/>
      <c r="DL112" s="268"/>
      <c r="DM112" s="268"/>
      <c r="DN112" s="268"/>
      <c r="DO112" s="268"/>
      <c r="DP112" s="268"/>
      <c r="DS112" s="268"/>
      <c r="DZ112" s="17"/>
      <c r="EA112" s="17"/>
      <c r="EB112" s="17"/>
      <c r="EC112" s="17"/>
    </row>
    <row r="113" spans="1:133" ht="15.75" customHeight="1" x14ac:dyDescent="0.2">
      <c r="A113" s="738"/>
      <c r="B113" s="738"/>
      <c r="C113" s="738"/>
      <c r="D113" s="239"/>
      <c r="F113" s="18"/>
      <c r="G113" s="752"/>
      <c r="H113" s="752"/>
      <c r="I113" s="752"/>
      <c r="J113" s="752"/>
      <c r="Q113" s="334">
        <v>0.75</v>
      </c>
      <c r="R113" s="334">
        <v>0.5</v>
      </c>
      <c r="S113" s="30"/>
      <c r="T113" s="334">
        <v>4</v>
      </c>
      <c r="U113" s="334">
        <v>1</v>
      </c>
      <c r="V113" s="54"/>
      <c r="W113" s="201" t="s">
        <v>6</v>
      </c>
      <c r="X113" s="200" t="s">
        <v>7</v>
      </c>
      <c r="AE113" s="160"/>
      <c r="AF113" s="165"/>
      <c r="AG113" s="165"/>
      <c r="AH113" s="130"/>
      <c r="AK113" s="1"/>
      <c r="AN113" s="125"/>
      <c r="AP113" s="131"/>
      <c r="AY113" s="125"/>
      <c r="AZ113" s="131"/>
      <c r="BA113" s="638"/>
      <c r="BB113" s="638"/>
      <c r="BC113" s="638"/>
      <c r="BD113" s="638"/>
      <c r="BE113" s="638"/>
      <c r="BF113" s="638"/>
      <c r="BG113" s="638"/>
      <c r="BH113" s="638"/>
      <c r="BI113" s="638"/>
      <c r="BJ113" s="638"/>
      <c r="BK113" s="638"/>
      <c r="BL113" s="638"/>
      <c r="BM113" s="638"/>
      <c r="BN113" s="638"/>
      <c r="BO113" s="638"/>
      <c r="BQ113" s="629"/>
      <c r="BR113" s="629"/>
      <c r="BS113" s="629"/>
      <c r="BT113" s="629"/>
      <c r="BU113" s="629"/>
      <c r="BV113" s="629"/>
      <c r="BW113" s="629"/>
      <c r="BX113" s="629"/>
      <c r="BY113" s="629"/>
      <c r="BZ113" s="629"/>
      <c r="CA113" s="629"/>
      <c r="CB113" s="629"/>
      <c r="CC113" s="629"/>
      <c r="CD113" s="629"/>
      <c r="CE113" s="629"/>
      <c r="CF113" s="184"/>
      <c r="CG113" s="164"/>
      <c r="CH113" s="164"/>
      <c r="CI113" s="164"/>
      <c r="CJ113" s="164"/>
      <c r="CK113" s="164"/>
      <c r="CL113" s="164"/>
      <c r="CM113" s="164"/>
      <c r="CN113" s="164"/>
      <c r="CO113" s="164"/>
      <c r="CP113" s="164"/>
      <c r="CQ113" s="164"/>
      <c r="CR113" s="164"/>
      <c r="CS113" s="164"/>
      <c r="CT113" s="164"/>
      <c r="CU113" s="164"/>
      <c r="CV113" s="184"/>
      <c r="CW113" s="184"/>
      <c r="CX113" s="184"/>
      <c r="CY113" s="184"/>
      <c r="CZ113" s="184"/>
      <c r="DK113" s="268"/>
      <c r="DL113" s="268"/>
      <c r="DM113" s="268"/>
      <c r="DN113" s="268"/>
      <c r="DO113" s="268"/>
      <c r="DP113" s="268"/>
      <c r="DS113" s="268"/>
      <c r="DZ113" s="17"/>
      <c r="EA113" s="17"/>
      <c r="EB113" s="17"/>
      <c r="EC113" s="17"/>
    </row>
    <row r="114" spans="1:133" ht="15.75" customHeight="1" x14ac:dyDescent="0.2">
      <c r="A114" s="738"/>
      <c r="B114" s="738"/>
      <c r="C114" s="738"/>
      <c r="D114" s="239"/>
      <c r="F114" s="18"/>
      <c r="G114" s="752"/>
      <c r="H114" s="752"/>
      <c r="I114" s="752"/>
      <c r="J114" s="752"/>
      <c r="Q114" s="136"/>
      <c r="R114" s="157"/>
      <c r="S114" s="30"/>
      <c r="T114" s="160"/>
      <c r="U114" s="160"/>
      <c r="V114" s="54"/>
      <c r="W114" s="716" t="s">
        <v>574</v>
      </c>
      <c r="X114" s="716"/>
      <c r="AE114" s="660"/>
      <c r="AF114" s="660"/>
      <c r="AG114" s="165"/>
      <c r="AH114" s="130"/>
      <c r="AI114" s="635" t="s">
        <v>631</v>
      </c>
      <c r="AJ114" s="635"/>
      <c r="AK114" s="635"/>
      <c r="AL114" s="635"/>
      <c r="AM114" s="635"/>
      <c r="AN114" s="635"/>
      <c r="AO114" s="635"/>
      <c r="AP114" s="635"/>
      <c r="AQ114" s="635"/>
      <c r="AR114" s="635"/>
      <c r="AS114" s="635"/>
      <c r="AT114" s="635"/>
      <c r="AU114" s="635"/>
      <c r="AV114" s="635"/>
      <c r="AW114" s="635"/>
      <c r="AX114" s="635"/>
      <c r="AY114" s="635"/>
      <c r="AZ114" s="131"/>
      <c r="BA114" s="638"/>
      <c r="BB114" s="638"/>
      <c r="BC114" s="638"/>
      <c r="BD114" s="638"/>
      <c r="BE114" s="638"/>
      <c r="BF114" s="638"/>
      <c r="BG114" s="638"/>
      <c r="BH114" s="638"/>
      <c r="BI114" s="638"/>
      <c r="BJ114" s="638"/>
      <c r="BK114" s="638"/>
      <c r="BL114" s="638"/>
      <c r="BM114" s="638"/>
      <c r="BN114" s="638"/>
      <c r="BO114" s="638"/>
      <c r="BQ114" s="186"/>
      <c r="BR114" s="186"/>
      <c r="BS114" s="186"/>
      <c r="BT114" s="186"/>
      <c r="BU114" s="186"/>
      <c r="BV114" s="186"/>
      <c r="BW114" s="186"/>
      <c r="BX114" s="186"/>
      <c r="BY114" s="186"/>
      <c r="BZ114" s="186"/>
      <c r="CA114" s="186"/>
      <c r="CB114" s="186"/>
      <c r="CC114" s="186"/>
      <c r="CD114" s="186"/>
      <c r="CE114" s="186"/>
      <c r="CF114" s="184"/>
      <c r="CG114" s="607" t="s">
        <v>635</v>
      </c>
      <c r="CH114" s="607"/>
      <c r="CI114" s="607"/>
      <c r="CJ114" s="607"/>
      <c r="CK114" s="607"/>
      <c r="CL114" s="607"/>
      <c r="CM114" s="607"/>
      <c r="CN114" s="607"/>
      <c r="CO114" s="607"/>
      <c r="CP114" s="607"/>
      <c r="CQ114" s="607"/>
      <c r="CR114" s="607"/>
      <c r="CS114" s="607"/>
      <c r="CT114" s="607"/>
      <c r="CU114" s="607"/>
      <c r="CY114" s="184"/>
      <c r="CZ114" s="184"/>
      <c r="DI114" s="164"/>
      <c r="DJ114" s="164"/>
      <c r="DK114" s="268"/>
      <c r="DL114" s="268"/>
      <c r="DM114" s="268"/>
      <c r="DN114" s="268"/>
      <c r="DO114" s="268"/>
      <c r="DP114" s="268"/>
      <c r="DS114" s="268"/>
      <c r="DZ114" s="17"/>
      <c r="EA114" s="17"/>
      <c r="EB114" s="17"/>
      <c r="EC114" s="17"/>
    </row>
    <row r="115" spans="1:133" ht="15.75" customHeight="1" x14ac:dyDescent="0.2">
      <c r="A115" s="738"/>
      <c r="B115" s="738"/>
      <c r="C115" s="738"/>
      <c r="D115" s="239"/>
      <c r="F115" s="18"/>
      <c r="G115" s="752"/>
      <c r="H115" s="752"/>
      <c r="I115" s="752"/>
      <c r="J115" s="752"/>
      <c r="Q115" s="655" t="s">
        <v>111</v>
      </c>
      <c r="R115" s="655"/>
      <c r="S115" s="655"/>
      <c r="T115" s="655"/>
      <c r="U115" s="655"/>
      <c r="V115" s="54"/>
      <c r="W115" s="260">
        <v>440</v>
      </c>
      <c r="X115" s="260">
        <v>660</v>
      </c>
      <c r="Z115" s="796" t="s">
        <v>346</v>
      </c>
      <c r="AA115" s="796"/>
      <c r="AB115" s="796"/>
      <c r="AE115" s="160"/>
      <c r="AF115" s="165"/>
      <c r="AG115" s="165"/>
      <c r="AH115" s="130"/>
      <c r="AK115" s="1"/>
      <c r="AN115" s="125"/>
      <c r="AP115" s="131"/>
      <c r="AY115" s="125"/>
      <c r="AZ115" s="131"/>
      <c r="BB115" s="129"/>
      <c r="BC115" s="1"/>
      <c r="BI115" s="125"/>
      <c r="BM115" s="134"/>
      <c r="BQ115" s="629" t="s">
        <v>524</v>
      </c>
      <c r="BR115" s="629"/>
      <c r="BS115" s="629"/>
      <c r="BT115" s="629"/>
      <c r="BU115" s="629"/>
      <c r="BV115" s="629"/>
      <c r="BW115" s="629"/>
      <c r="BX115" s="629"/>
      <c r="BY115" s="629"/>
      <c r="BZ115" s="629"/>
      <c r="CA115" s="629"/>
      <c r="CB115" s="629"/>
      <c r="CC115" s="629"/>
      <c r="CD115" s="629"/>
      <c r="CE115" s="629"/>
      <c r="CF115" s="184"/>
      <c r="CG115" s="607"/>
      <c r="CH115" s="607"/>
      <c r="CI115" s="607"/>
      <c r="CJ115" s="607"/>
      <c r="CK115" s="607"/>
      <c r="CL115" s="607"/>
      <c r="CM115" s="607"/>
      <c r="CN115" s="607"/>
      <c r="CO115" s="607"/>
      <c r="CP115" s="607"/>
      <c r="CQ115" s="607"/>
      <c r="CR115" s="607"/>
      <c r="CS115" s="607"/>
      <c r="CT115" s="607"/>
      <c r="CU115" s="607"/>
      <c r="CV115" s="184"/>
      <c r="CW115" s="184"/>
      <c r="CX115" s="184"/>
      <c r="CY115" s="184"/>
      <c r="CZ115" s="184"/>
      <c r="DI115" s="164"/>
      <c r="DJ115" s="164"/>
      <c r="DK115" s="268"/>
      <c r="DL115" s="268"/>
      <c r="DM115" s="268"/>
      <c r="DN115" s="268"/>
      <c r="DO115" s="268"/>
      <c r="DP115" s="268"/>
      <c r="DS115" s="268"/>
      <c r="DZ115" s="17"/>
      <c r="EA115" s="17"/>
      <c r="EB115" s="17"/>
      <c r="EC115" s="17"/>
    </row>
    <row r="116" spans="1:133" ht="15" customHeight="1" x14ac:dyDescent="0.2">
      <c r="A116" s="738"/>
      <c r="B116" s="738"/>
      <c r="C116" s="738"/>
      <c r="D116" s="239"/>
      <c r="F116" s="18"/>
      <c r="G116" s="752"/>
      <c r="H116" s="752"/>
      <c r="I116" s="752"/>
      <c r="J116" s="752"/>
      <c r="Q116" s="803" t="s">
        <v>0</v>
      </c>
      <c r="R116" s="779"/>
      <c r="S116" s="27"/>
      <c r="T116" s="779" t="s">
        <v>570</v>
      </c>
      <c r="U116" s="803"/>
      <c r="V116" s="54"/>
      <c r="Z116" s="824" t="s">
        <v>495</v>
      </c>
      <c r="AA116" s="824"/>
      <c r="AB116" s="824"/>
      <c r="AE116" s="160"/>
      <c r="AF116" s="165"/>
      <c r="AG116" s="165"/>
      <c r="AH116" s="130"/>
      <c r="AI116" s="607" t="s">
        <v>549</v>
      </c>
      <c r="AJ116" s="607"/>
      <c r="AK116" s="607"/>
      <c r="AL116" s="607"/>
      <c r="AM116" s="607"/>
      <c r="AN116" s="607"/>
      <c r="AO116" s="607"/>
      <c r="AP116" s="607"/>
      <c r="AQ116" s="607"/>
      <c r="AR116" s="607"/>
      <c r="AS116" s="607"/>
      <c r="AT116" s="607"/>
      <c r="AU116" s="607"/>
      <c r="AV116" s="607"/>
      <c r="AW116" s="607"/>
      <c r="AX116" s="607"/>
      <c r="AY116" s="607"/>
      <c r="AZ116" s="131"/>
      <c r="BA116" s="636" t="s">
        <v>542</v>
      </c>
      <c r="BB116" s="636"/>
      <c r="BC116" s="636"/>
      <c r="BD116" s="636"/>
      <c r="BE116" s="636"/>
      <c r="BF116" s="636"/>
      <c r="BG116" s="636"/>
      <c r="BH116" s="636"/>
      <c r="BI116" s="636"/>
      <c r="BJ116" s="636"/>
      <c r="BK116" s="636"/>
      <c r="BL116" s="636"/>
      <c r="BM116" s="636"/>
      <c r="BN116" s="636"/>
      <c r="BO116" s="636"/>
      <c r="BQ116" s="629"/>
      <c r="BR116" s="629"/>
      <c r="BS116" s="629"/>
      <c r="BT116" s="629"/>
      <c r="BU116" s="629"/>
      <c r="BV116" s="629"/>
      <c r="BW116" s="629"/>
      <c r="BX116" s="629"/>
      <c r="BY116" s="629"/>
      <c r="BZ116" s="629"/>
      <c r="CA116" s="629"/>
      <c r="CB116" s="629"/>
      <c r="CC116" s="629"/>
      <c r="CD116" s="629"/>
      <c r="CE116" s="629"/>
      <c r="CF116" s="44"/>
      <c r="CG116" s="607"/>
      <c r="CH116" s="607"/>
      <c r="CI116" s="607"/>
      <c r="CJ116" s="607"/>
      <c r="CK116" s="607"/>
      <c r="CL116" s="607"/>
      <c r="CM116" s="607"/>
      <c r="CN116" s="607"/>
      <c r="CO116" s="607"/>
      <c r="CP116" s="607"/>
      <c r="CQ116" s="607"/>
      <c r="CR116" s="607"/>
      <c r="CS116" s="607"/>
      <c r="CT116" s="607"/>
      <c r="CU116" s="607"/>
      <c r="CV116" s="44"/>
      <c r="CW116" s="44"/>
      <c r="CX116" s="44"/>
      <c r="CY116" s="44"/>
      <c r="CZ116" s="39"/>
      <c r="DK116" s="268"/>
      <c r="DL116" s="268"/>
      <c r="DM116" s="268"/>
      <c r="DN116" s="268"/>
      <c r="DO116" s="268"/>
      <c r="DP116" s="268"/>
      <c r="DS116" s="268"/>
      <c r="DZ116" s="17"/>
      <c r="EA116" s="17"/>
      <c r="EB116" s="17"/>
      <c r="EC116" s="17"/>
    </row>
    <row r="117" spans="1:133" ht="12.75" customHeight="1" x14ac:dyDescent="0.2">
      <c r="A117" s="738"/>
      <c r="B117" s="738"/>
      <c r="C117" s="738"/>
      <c r="D117" s="239"/>
      <c r="F117" s="18"/>
      <c r="G117" s="752"/>
      <c r="H117" s="752"/>
      <c r="I117" s="752"/>
      <c r="J117" s="752"/>
      <c r="Q117" s="349">
        <v>1.52</v>
      </c>
      <c r="R117" s="347">
        <v>2</v>
      </c>
      <c r="S117" s="22"/>
      <c r="T117" s="348">
        <v>2</v>
      </c>
      <c r="U117" s="349">
        <v>0.3</v>
      </c>
      <c r="V117" s="54"/>
      <c r="W117" s="653" t="s">
        <v>614</v>
      </c>
      <c r="X117" s="653"/>
      <c r="Z117" s="825"/>
      <c r="AA117" s="825"/>
      <c r="AB117" s="825"/>
      <c r="AE117" s="160"/>
      <c r="AF117" s="165"/>
      <c r="AG117" s="165"/>
      <c r="AH117" s="130"/>
      <c r="AI117" s="607"/>
      <c r="AJ117" s="607"/>
      <c r="AK117" s="607"/>
      <c r="AL117" s="607"/>
      <c r="AM117" s="607"/>
      <c r="AN117" s="607"/>
      <c r="AO117" s="607"/>
      <c r="AP117" s="607"/>
      <c r="AQ117" s="607"/>
      <c r="AR117" s="607"/>
      <c r="AS117" s="607"/>
      <c r="AT117" s="607"/>
      <c r="AU117" s="607"/>
      <c r="AV117" s="607"/>
      <c r="AW117" s="607"/>
      <c r="AX117" s="607"/>
      <c r="AY117" s="607"/>
      <c r="AZ117" s="131"/>
      <c r="BB117" s="129"/>
      <c r="BC117" s="1"/>
      <c r="BI117" s="125"/>
      <c r="BM117" s="134"/>
      <c r="BQ117" s="629"/>
      <c r="BR117" s="629"/>
      <c r="BS117" s="629"/>
      <c r="BT117" s="629"/>
      <c r="BU117" s="629"/>
      <c r="BV117" s="629"/>
      <c r="BW117" s="629"/>
      <c r="BX117" s="629"/>
      <c r="BY117" s="629"/>
      <c r="BZ117" s="629"/>
      <c r="CA117" s="629"/>
      <c r="CB117" s="629"/>
      <c r="CC117" s="629"/>
      <c r="CD117" s="629"/>
      <c r="CE117" s="629"/>
      <c r="CF117" s="44"/>
      <c r="CG117" s="607"/>
      <c r="CH117" s="607"/>
      <c r="CI117" s="607"/>
      <c r="CJ117" s="607"/>
      <c r="CK117" s="607"/>
      <c r="CL117" s="607"/>
      <c r="CM117" s="607"/>
      <c r="CN117" s="607"/>
      <c r="CO117" s="607"/>
      <c r="CP117" s="607"/>
      <c r="CQ117" s="607"/>
      <c r="CR117" s="607"/>
      <c r="CS117" s="607"/>
      <c r="CT117" s="607"/>
      <c r="CU117" s="607"/>
      <c r="CV117" s="44"/>
      <c r="CW117" s="44"/>
      <c r="CX117" s="44"/>
      <c r="CY117" s="44"/>
      <c r="CZ117" s="39"/>
      <c r="DK117" s="268"/>
      <c r="DL117" s="268"/>
      <c r="DM117" s="268"/>
      <c r="DN117" s="268"/>
      <c r="DO117" s="268"/>
      <c r="DP117" s="268"/>
      <c r="DS117" s="268"/>
      <c r="DZ117" s="17"/>
      <c r="EA117" s="17"/>
      <c r="EB117" s="17"/>
      <c r="EC117" s="17"/>
    </row>
    <row r="118" spans="1:133" ht="15" customHeight="1" x14ac:dyDescent="0.2">
      <c r="A118" s="738"/>
      <c r="B118" s="738"/>
      <c r="C118" s="738"/>
      <c r="D118" s="239"/>
      <c r="F118" s="18"/>
      <c r="G118" s="752"/>
      <c r="H118" s="752"/>
      <c r="I118" s="752"/>
      <c r="J118" s="752"/>
      <c r="Q118" s="136"/>
      <c r="R118" s="157"/>
      <c r="S118" s="30"/>
      <c r="T118" s="160"/>
      <c r="U118" s="160"/>
      <c r="V118" s="54"/>
      <c r="W118" s="260">
        <v>225</v>
      </c>
      <c r="X118" s="260">
        <v>275</v>
      </c>
      <c r="Z118" s="825"/>
      <c r="AA118" s="825"/>
      <c r="AB118" s="825"/>
      <c r="AE118" s="160"/>
      <c r="AF118" s="165"/>
      <c r="AG118" s="165"/>
      <c r="AH118" s="130"/>
      <c r="AK118" s="1"/>
      <c r="AN118" s="125"/>
      <c r="AP118" s="131"/>
      <c r="AY118" s="125"/>
      <c r="AZ118" s="131"/>
      <c r="BA118" s="638" t="s">
        <v>632</v>
      </c>
      <c r="BB118" s="638"/>
      <c r="BC118" s="638"/>
      <c r="BD118" s="638"/>
      <c r="BE118" s="638"/>
      <c r="BF118" s="638"/>
      <c r="BG118" s="638"/>
      <c r="BH118" s="638"/>
      <c r="BI118" s="638"/>
      <c r="BJ118" s="638"/>
      <c r="BK118" s="638"/>
      <c r="BL118" s="638"/>
      <c r="BM118" s="638"/>
      <c r="BN118" s="638"/>
      <c r="BO118" s="638"/>
      <c r="CF118" s="44"/>
      <c r="CG118" s="607"/>
      <c r="CH118" s="607"/>
      <c r="CI118" s="607"/>
      <c r="CJ118" s="607"/>
      <c r="CK118" s="607"/>
      <c r="CL118" s="607"/>
      <c r="CM118" s="607"/>
      <c r="CN118" s="607"/>
      <c r="CO118" s="607"/>
      <c r="CP118" s="607"/>
      <c r="CQ118" s="607"/>
      <c r="CR118" s="607"/>
      <c r="CS118" s="607"/>
      <c r="CT118" s="607"/>
      <c r="CU118" s="607"/>
      <c r="CY118" s="44"/>
      <c r="CZ118" s="39"/>
      <c r="DI118" s="16"/>
      <c r="DJ118" s="16"/>
      <c r="DK118" s="268"/>
      <c r="DL118" s="268"/>
      <c r="DM118" s="268"/>
      <c r="DN118" s="268"/>
      <c r="DO118" s="268"/>
      <c r="DP118" s="268"/>
      <c r="DS118" s="268"/>
      <c r="DZ118" s="17"/>
      <c r="EA118" s="17"/>
      <c r="EB118" s="17"/>
      <c r="EC118" s="17"/>
    </row>
    <row r="119" spans="1:133" ht="15" customHeight="1" x14ac:dyDescent="0.2">
      <c r="A119" s="738"/>
      <c r="B119" s="738"/>
      <c r="C119" s="738"/>
      <c r="D119" s="239"/>
      <c r="F119" s="18"/>
      <c r="G119" s="752"/>
      <c r="H119" s="752"/>
      <c r="I119" s="752"/>
      <c r="J119" s="752"/>
      <c r="Q119" s="779" t="s">
        <v>234</v>
      </c>
      <c r="R119" s="779"/>
      <c r="S119" s="7"/>
      <c r="T119" s="54"/>
      <c r="U119" s="54"/>
      <c r="V119" s="54"/>
      <c r="W119" s="1"/>
      <c r="X119" s="1"/>
      <c r="Z119" s="825"/>
      <c r="AA119" s="825"/>
      <c r="AB119" s="825"/>
      <c r="AE119" s="160"/>
      <c r="AF119" s="165"/>
      <c r="AG119" s="165"/>
      <c r="AH119" s="130"/>
      <c r="AI119" s="635" t="s">
        <v>548</v>
      </c>
      <c r="AJ119" s="635"/>
      <c r="AK119" s="635"/>
      <c r="AL119" s="635"/>
      <c r="AM119" s="635"/>
      <c r="AN119" s="635"/>
      <c r="AO119" s="635"/>
      <c r="AP119" s="635"/>
      <c r="AQ119" s="635"/>
      <c r="AR119" s="635"/>
      <c r="AS119" s="635"/>
      <c r="AT119" s="635"/>
      <c r="AU119" s="635"/>
      <c r="AV119" s="635"/>
      <c r="AW119" s="635"/>
      <c r="AX119" s="635"/>
      <c r="AY119" s="635"/>
      <c r="AZ119" s="131"/>
      <c r="BB119" s="129"/>
      <c r="BC119" s="1"/>
      <c r="BI119" s="125"/>
      <c r="BM119" s="134"/>
      <c r="BQ119" s="631" t="s">
        <v>543</v>
      </c>
      <c r="BR119" s="631"/>
      <c r="BS119" s="631"/>
      <c r="BT119" s="631"/>
      <c r="BU119" s="631"/>
      <c r="BV119" s="631"/>
      <c r="BW119" s="631"/>
      <c r="BX119" s="631"/>
      <c r="BY119" s="631"/>
      <c r="BZ119" s="631"/>
      <c r="CA119" s="631"/>
      <c r="CB119" s="631"/>
      <c r="CC119" s="631"/>
      <c r="CD119" s="631"/>
      <c r="CE119" s="631"/>
      <c r="CF119" s="164"/>
      <c r="CG119" s="92"/>
      <c r="CH119" s="92"/>
      <c r="CI119" s="92"/>
      <c r="CJ119" s="92"/>
      <c r="CK119" s="92"/>
      <c r="CL119" s="92"/>
      <c r="CM119" s="92"/>
      <c r="CN119" s="92"/>
      <c r="CO119" s="92"/>
      <c r="CP119" s="92"/>
      <c r="CQ119" s="92"/>
      <c r="CR119" s="92"/>
      <c r="CS119" s="92"/>
      <c r="CT119" s="92"/>
      <c r="CU119" s="92"/>
      <c r="CV119" s="44"/>
      <c r="CW119" s="44"/>
      <c r="CX119" s="44"/>
      <c r="CY119" s="44"/>
      <c r="CZ119" s="39"/>
      <c r="DI119" s="16"/>
      <c r="DJ119" s="16"/>
      <c r="DK119" s="268"/>
      <c r="DL119" s="268"/>
      <c r="DM119" s="268"/>
      <c r="DN119" s="268"/>
      <c r="DO119" s="268"/>
      <c r="DP119" s="268"/>
      <c r="DS119" s="268"/>
      <c r="DZ119" s="17"/>
      <c r="EA119" s="17"/>
      <c r="EB119" s="17"/>
      <c r="EC119" s="17"/>
    </row>
    <row r="120" spans="1:133" ht="12.75" customHeight="1" x14ac:dyDescent="0.2">
      <c r="A120" s="738"/>
      <c r="B120" s="738"/>
      <c r="C120" s="738"/>
      <c r="D120" s="239"/>
      <c r="F120" s="18"/>
      <c r="G120" s="752"/>
      <c r="H120" s="752"/>
      <c r="I120" s="752"/>
      <c r="J120" s="752"/>
      <c r="Q120" s="334">
        <v>40</v>
      </c>
      <c r="R120" s="334">
        <v>8</v>
      </c>
      <c r="S120" s="27"/>
      <c r="T120" s="54"/>
      <c r="U120" s="54"/>
      <c r="V120" s="54"/>
      <c r="W120" s="812" t="s">
        <v>620</v>
      </c>
      <c r="X120" s="812"/>
      <c r="AE120" s="160"/>
      <c r="AF120" s="165"/>
      <c r="AG120" s="165"/>
      <c r="AH120" s="130"/>
      <c r="AI120" s="635"/>
      <c r="AJ120" s="635"/>
      <c r="AK120" s="635"/>
      <c r="AL120" s="635"/>
      <c r="AM120" s="635"/>
      <c r="AN120" s="635"/>
      <c r="AO120" s="635"/>
      <c r="AP120" s="635"/>
      <c r="AQ120" s="635"/>
      <c r="AR120" s="635"/>
      <c r="AS120" s="635"/>
      <c r="AT120" s="635"/>
      <c r="AU120" s="635"/>
      <c r="AV120" s="635"/>
      <c r="AW120" s="635"/>
      <c r="AX120" s="635"/>
      <c r="AY120" s="635"/>
      <c r="AZ120" s="131"/>
      <c r="BA120" s="828" t="s">
        <v>636</v>
      </c>
      <c r="BB120" s="828"/>
      <c r="BC120" s="828"/>
      <c r="BD120" s="828"/>
      <c r="BE120" s="828"/>
      <c r="BF120" s="828"/>
      <c r="BG120" s="828"/>
      <c r="BH120" s="828"/>
      <c r="BI120" s="828"/>
      <c r="BJ120" s="828"/>
      <c r="BK120" s="828"/>
      <c r="BL120" s="828"/>
      <c r="BM120" s="828"/>
      <c r="BN120" s="828"/>
      <c r="BO120" s="828"/>
      <c r="BQ120" s="631"/>
      <c r="BR120" s="631"/>
      <c r="BS120" s="631"/>
      <c r="BT120" s="631"/>
      <c r="BU120" s="631"/>
      <c r="BV120" s="631"/>
      <c r="BW120" s="631"/>
      <c r="BX120" s="631"/>
      <c r="BY120" s="631"/>
      <c r="BZ120" s="631"/>
      <c r="CA120" s="631"/>
      <c r="CB120" s="631"/>
      <c r="CC120" s="631"/>
      <c r="CD120" s="631"/>
      <c r="CE120" s="631"/>
      <c r="CF120" s="164"/>
      <c r="CG120" s="627" t="s">
        <v>639</v>
      </c>
      <c r="CH120" s="627"/>
      <c r="CI120" s="627"/>
      <c r="CJ120" s="627"/>
      <c r="CK120" s="627"/>
      <c r="CL120" s="627"/>
      <c r="CM120" s="627"/>
      <c r="CN120" s="627"/>
      <c r="CO120" s="627"/>
      <c r="CP120" s="627"/>
      <c r="CQ120" s="627"/>
      <c r="CR120" s="627"/>
      <c r="CS120" s="627"/>
      <c r="CT120" s="627"/>
      <c r="CU120" s="627"/>
      <c r="CV120" s="44"/>
      <c r="CW120" s="44"/>
      <c r="CX120" s="44"/>
      <c r="CY120" s="44"/>
      <c r="CZ120" s="39"/>
      <c r="DI120" s="16"/>
      <c r="DJ120" s="16"/>
      <c r="DK120" s="268"/>
      <c r="DL120" s="268"/>
      <c r="DM120" s="268"/>
      <c r="DN120" s="268"/>
      <c r="DO120" s="268"/>
      <c r="DP120" s="268"/>
      <c r="DS120" s="268"/>
      <c r="DZ120" s="17"/>
      <c r="EA120" s="17"/>
      <c r="EB120" s="17"/>
      <c r="EC120" s="17"/>
    </row>
    <row r="121" spans="1:133" ht="15" customHeight="1" x14ac:dyDescent="0.2">
      <c r="A121" s="738"/>
      <c r="B121" s="738"/>
      <c r="C121" s="738"/>
      <c r="D121" s="239"/>
      <c r="F121" s="283"/>
      <c r="G121" s="752"/>
      <c r="H121" s="752"/>
      <c r="I121" s="752"/>
      <c r="J121" s="752"/>
      <c r="Q121" s="136"/>
      <c r="R121" s="157"/>
      <c r="S121" s="22"/>
      <c r="T121" s="54"/>
      <c r="U121" s="54"/>
      <c r="V121" s="54"/>
      <c r="W121" s="780"/>
      <c r="X121" s="780"/>
      <c r="Z121" s="39" t="s">
        <v>346</v>
      </c>
      <c r="AA121" s="340">
        <v>250000</v>
      </c>
      <c r="AB121" s="44" t="s">
        <v>468</v>
      </c>
      <c r="AE121" s="160"/>
      <c r="AF121" s="165"/>
      <c r="AG121" s="165"/>
      <c r="AH121" s="130"/>
      <c r="AK121" s="1"/>
      <c r="AN121" s="125"/>
      <c r="AP121" s="131"/>
      <c r="AY121" s="125"/>
      <c r="AZ121" s="131"/>
      <c r="BA121" s="828"/>
      <c r="BB121" s="828"/>
      <c r="BC121" s="828"/>
      <c r="BD121" s="828"/>
      <c r="BE121" s="828"/>
      <c r="BF121" s="828"/>
      <c r="BG121" s="828"/>
      <c r="BH121" s="828"/>
      <c r="BI121" s="828"/>
      <c r="BJ121" s="828"/>
      <c r="BK121" s="828"/>
      <c r="BL121" s="828"/>
      <c r="BM121" s="828"/>
      <c r="BN121" s="828"/>
      <c r="BO121" s="828"/>
      <c r="CF121" s="44"/>
      <c r="CG121" s="627"/>
      <c r="CH121" s="627"/>
      <c r="CI121" s="627"/>
      <c r="CJ121" s="627"/>
      <c r="CK121" s="627"/>
      <c r="CL121" s="627"/>
      <c r="CM121" s="627"/>
      <c r="CN121" s="627"/>
      <c r="CO121" s="627"/>
      <c r="CP121" s="627"/>
      <c r="CQ121" s="627"/>
      <c r="CR121" s="627"/>
      <c r="CS121" s="627"/>
      <c r="CT121" s="627"/>
      <c r="CU121" s="627"/>
      <c r="CY121" s="44"/>
      <c r="CZ121" s="39"/>
      <c r="DI121" s="16"/>
      <c r="DJ121" s="16"/>
      <c r="DK121" s="268"/>
      <c r="DL121" s="268"/>
      <c r="DM121" s="268"/>
      <c r="DN121" s="268"/>
      <c r="DO121" s="268"/>
      <c r="DP121" s="268"/>
      <c r="DS121" s="268"/>
      <c r="DZ121" s="17"/>
      <c r="EA121" s="17"/>
      <c r="EB121" s="17"/>
      <c r="EC121" s="17"/>
    </row>
    <row r="122" spans="1:133" ht="15" customHeight="1" x14ac:dyDescent="0.2">
      <c r="A122" s="738"/>
      <c r="B122" s="738"/>
      <c r="C122" s="738"/>
      <c r="D122" s="239"/>
      <c r="F122" s="16"/>
      <c r="G122" s="752"/>
      <c r="H122" s="752"/>
      <c r="I122" s="752"/>
      <c r="J122" s="752"/>
      <c r="Q122" s="779" t="s">
        <v>25</v>
      </c>
      <c r="R122" s="779"/>
      <c r="S122" s="22"/>
      <c r="T122" s="783" t="s">
        <v>27</v>
      </c>
      <c r="U122" s="783"/>
      <c r="V122" s="54"/>
      <c r="W122" s="334">
        <v>26.25</v>
      </c>
      <c r="X122" s="334">
        <v>6</v>
      </c>
      <c r="Y122" s="160"/>
      <c r="Z122" s="160"/>
      <c r="AA122" s="165"/>
      <c r="AB122" s="165"/>
      <c r="AC122" s="165"/>
      <c r="AD122" s="160"/>
      <c r="AE122" s="160"/>
      <c r="AF122" s="165"/>
      <c r="AG122" s="165"/>
      <c r="AH122" s="160"/>
      <c r="AI122" s="637" t="s">
        <v>508</v>
      </c>
      <c r="AJ122" s="637"/>
      <c r="AK122" s="637"/>
      <c r="AL122" s="637"/>
      <c r="AM122" s="637"/>
      <c r="AN122" s="637"/>
      <c r="AO122" s="637"/>
      <c r="AP122" s="637"/>
      <c r="AQ122" s="637"/>
      <c r="AR122" s="637"/>
      <c r="AS122" s="637"/>
      <c r="AT122" s="637"/>
      <c r="AU122" s="637"/>
      <c r="AV122" s="637"/>
      <c r="AW122" s="637"/>
      <c r="AX122" s="637"/>
      <c r="AY122" s="637"/>
      <c r="AZ122" s="131"/>
      <c r="BA122" s="828"/>
      <c r="BB122" s="828"/>
      <c r="BC122" s="828"/>
      <c r="BD122" s="828"/>
      <c r="BE122" s="828"/>
      <c r="BF122" s="828"/>
      <c r="BG122" s="828"/>
      <c r="BH122" s="828"/>
      <c r="BI122" s="828"/>
      <c r="BJ122" s="828"/>
      <c r="BK122" s="828"/>
      <c r="BL122" s="828"/>
      <c r="BM122" s="828"/>
      <c r="BN122" s="828"/>
      <c r="BO122" s="828"/>
      <c r="BP122" s="44"/>
      <c r="BQ122" s="628" t="s">
        <v>567</v>
      </c>
      <c r="BR122" s="628"/>
      <c r="BS122" s="628"/>
      <c r="BT122" s="628"/>
      <c r="BU122" s="628"/>
      <c r="BV122" s="628"/>
      <c r="BW122" s="628"/>
      <c r="BX122" s="628"/>
      <c r="BY122" s="628"/>
      <c r="BZ122" s="628"/>
      <c r="CA122" s="628"/>
      <c r="CB122" s="628"/>
      <c r="CC122" s="628"/>
      <c r="CD122" s="628"/>
      <c r="CE122" s="628"/>
      <c r="CF122" s="44"/>
      <c r="CG122" s="627"/>
      <c r="CH122" s="627"/>
      <c r="CI122" s="627"/>
      <c r="CJ122" s="627"/>
      <c r="CK122" s="627"/>
      <c r="CL122" s="627"/>
      <c r="CM122" s="627"/>
      <c r="CN122" s="627"/>
      <c r="CO122" s="627"/>
      <c r="CP122" s="627"/>
      <c r="CQ122" s="627"/>
      <c r="CR122" s="627"/>
      <c r="CS122" s="627"/>
      <c r="CT122" s="627"/>
      <c r="CU122" s="627"/>
      <c r="CV122" s="44"/>
      <c r="CW122" s="44"/>
      <c r="CX122" s="44"/>
      <c r="CY122" s="44"/>
      <c r="CZ122" s="39"/>
      <c r="DI122" s="166"/>
      <c r="DJ122" s="166"/>
      <c r="DK122" s="268"/>
      <c r="DL122" s="268"/>
      <c r="DM122" s="268"/>
      <c r="DN122" s="268"/>
      <c r="DO122" s="268"/>
      <c r="DP122" s="268"/>
      <c r="DS122" s="268"/>
      <c r="DZ122" s="17"/>
      <c r="EA122" s="17"/>
      <c r="EB122" s="17"/>
      <c r="EC122" s="17"/>
    </row>
    <row r="123" spans="1:133" ht="15" customHeight="1" x14ac:dyDescent="0.2">
      <c r="A123" s="738"/>
      <c r="B123" s="738"/>
      <c r="C123" s="738"/>
      <c r="D123" s="239"/>
      <c r="F123" s="16"/>
      <c r="G123" s="752"/>
      <c r="H123" s="752"/>
      <c r="I123" s="752"/>
      <c r="J123" s="752"/>
      <c r="M123" s="296"/>
      <c r="P123" s="268"/>
      <c r="Q123" s="334">
        <v>1</v>
      </c>
      <c r="R123" s="334">
        <v>0.5</v>
      </c>
      <c r="S123" s="22"/>
      <c r="T123" s="334">
        <v>40</v>
      </c>
      <c r="U123" s="334">
        <v>8</v>
      </c>
      <c r="V123" s="53"/>
      <c r="W123" s="1"/>
      <c r="X123" s="1"/>
      <c r="Y123" s="160"/>
      <c r="Z123" s="160"/>
      <c r="AA123" s="165"/>
      <c r="AB123" s="165"/>
      <c r="AC123" s="165"/>
      <c r="AD123" s="160"/>
      <c r="AE123" s="160"/>
      <c r="AF123" s="165"/>
      <c r="AG123" s="165"/>
      <c r="AH123" s="160"/>
      <c r="AI123" s="637"/>
      <c r="AJ123" s="637"/>
      <c r="AK123" s="637"/>
      <c r="AL123" s="637"/>
      <c r="AM123" s="637"/>
      <c r="AN123" s="637"/>
      <c r="AO123" s="637"/>
      <c r="AP123" s="637"/>
      <c r="AQ123" s="637"/>
      <c r="AR123" s="637"/>
      <c r="AS123" s="637"/>
      <c r="AT123" s="637"/>
      <c r="AU123" s="637"/>
      <c r="AV123" s="637"/>
      <c r="AW123" s="637"/>
      <c r="AX123" s="637"/>
      <c r="AY123" s="637"/>
      <c r="AZ123" s="284"/>
      <c r="BB123" s="129"/>
      <c r="BC123" s="1"/>
      <c r="BI123" s="125"/>
      <c r="BM123" s="134"/>
      <c r="BP123" s="44"/>
      <c r="BQ123" s="628"/>
      <c r="BR123" s="628"/>
      <c r="BS123" s="628"/>
      <c r="BT123" s="628"/>
      <c r="BU123" s="628"/>
      <c r="BV123" s="628"/>
      <c r="BW123" s="628"/>
      <c r="BX123" s="628"/>
      <c r="BY123" s="628"/>
      <c r="BZ123" s="628"/>
      <c r="CA123" s="628"/>
      <c r="CB123" s="628"/>
      <c r="CC123" s="628"/>
      <c r="CD123" s="628"/>
      <c r="CE123" s="628"/>
      <c r="CF123" s="44"/>
      <c r="CG123" s="355"/>
      <c r="CH123" s="355"/>
      <c r="CI123" s="355"/>
      <c r="CJ123" s="355"/>
      <c r="CK123" s="355"/>
      <c r="CL123" s="355"/>
      <c r="CM123" s="355"/>
      <c r="CN123" s="355"/>
      <c r="CO123" s="355"/>
      <c r="CP123" s="355"/>
      <c r="CQ123" s="355"/>
      <c r="CR123" s="355"/>
      <c r="CS123" s="355"/>
      <c r="CT123" s="355"/>
      <c r="CU123" s="355"/>
      <c r="CV123" s="44"/>
      <c r="CW123" s="44"/>
      <c r="CX123" s="44"/>
      <c r="CY123" s="44"/>
      <c r="CZ123" s="39"/>
      <c r="DI123" s="166"/>
      <c r="DJ123" s="166"/>
      <c r="DK123" s="166"/>
      <c r="DL123" s="166"/>
      <c r="DM123" s="166"/>
      <c r="DN123" s="166"/>
      <c r="DO123" s="166"/>
      <c r="DP123" s="166"/>
      <c r="DS123" s="28"/>
      <c r="DT123" s="156"/>
      <c r="DU123" s="17"/>
      <c r="DV123" s="17"/>
      <c r="DW123" s="17"/>
      <c r="DX123" s="17"/>
      <c r="DY123" s="17"/>
      <c r="DZ123" s="17"/>
      <c r="EA123" s="17"/>
      <c r="EB123" s="17"/>
      <c r="EC123" s="17"/>
    </row>
    <row r="124" spans="1:133" ht="15" customHeight="1" x14ac:dyDescent="0.2">
      <c r="A124" s="738"/>
      <c r="B124" s="738"/>
      <c r="C124" s="738"/>
      <c r="D124" s="239"/>
      <c r="F124" s="16"/>
      <c r="G124" s="752"/>
      <c r="H124" s="752"/>
      <c r="I124" s="752"/>
      <c r="J124" s="752"/>
      <c r="M124" s="296"/>
      <c r="P124" s="268"/>
      <c r="Q124" s="1"/>
      <c r="R124" s="1"/>
      <c r="S124" s="1"/>
      <c r="T124" s="1"/>
      <c r="U124" s="1"/>
      <c r="V124" s="53"/>
      <c r="W124" s="1"/>
      <c r="X124" s="1"/>
      <c r="Y124" s="160"/>
      <c r="Z124" s="160"/>
      <c r="AA124" s="165"/>
      <c r="AB124" s="165"/>
      <c r="AC124" s="165"/>
      <c r="AD124" s="160"/>
      <c r="AE124" s="160"/>
      <c r="AF124" s="165"/>
      <c r="AG124" s="165"/>
      <c r="AH124" s="160"/>
      <c r="AI124" s="634" t="s">
        <v>406</v>
      </c>
      <c r="AJ124" s="634"/>
      <c r="AK124" s="634"/>
      <c r="AL124" s="634"/>
      <c r="AM124" s="634"/>
      <c r="AN124" s="634"/>
      <c r="AO124" s="634"/>
      <c r="AP124" s="634"/>
      <c r="AQ124" s="634"/>
      <c r="AR124" s="634"/>
      <c r="AS124" s="634"/>
      <c r="AT124" s="634"/>
      <c r="AU124" s="634"/>
      <c r="AV124" s="634"/>
      <c r="AW124" s="634"/>
      <c r="AX124" s="634"/>
      <c r="AY124" s="634"/>
      <c r="AZ124" s="284"/>
      <c r="BA124" s="629" t="s">
        <v>637</v>
      </c>
      <c r="BB124" s="629"/>
      <c r="BC124" s="629"/>
      <c r="BD124" s="629"/>
      <c r="BE124" s="629"/>
      <c r="BF124" s="629"/>
      <c r="BG124" s="629"/>
      <c r="BH124" s="629"/>
      <c r="BI124" s="629"/>
      <c r="BJ124" s="629"/>
      <c r="BK124" s="629"/>
      <c r="BL124" s="629"/>
      <c r="BM124" s="629"/>
      <c r="BN124" s="629"/>
      <c r="BO124" s="629"/>
      <c r="BP124" s="44"/>
      <c r="BQ124" s="628"/>
      <c r="BR124" s="628"/>
      <c r="BS124" s="628"/>
      <c r="BT124" s="628"/>
      <c r="BU124" s="628"/>
      <c r="BV124" s="628"/>
      <c r="BW124" s="628"/>
      <c r="BX124" s="628"/>
      <c r="BY124" s="628"/>
      <c r="BZ124" s="628"/>
      <c r="CA124" s="628"/>
      <c r="CB124" s="628"/>
      <c r="CC124" s="628"/>
      <c r="CD124" s="628"/>
      <c r="CE124" s="628"/>
      <c r="CG124" s="627" t="s">
        <v>640</v>
      </c>
      <c r="CH124" s="627"/>
      <c r="CI124" s="627"/>
      <c r="CJ124" s="627"/>
      <c r="CK124" s="627"/>
      <c r="CL124" s="627"/>
      <c r="CM124" s="627"/>
      <c r="CN124" s="627"/>
      <c r="CO124" s="627"/>
      <c r="CP124" s="627"/>
      <c r="CQ124" s="627"/>
      <c r="CR124" s="627"/>
      <c r="CS124" s="627"/>
      <c r="CT124" s="627"/>
      <c r="CU124" s="627"/>
      <c r="CV124" s="44"/>
      <c r="CW124" s="44"/>
      <c r="CX124" s="44"/>
      <c r="CY124" s="44"/>
      <c r="CZ124" s="39"/>
      <c r="DI124" s="166"/>
      <c r="DJ124" s="166"/>
      <c r="DK124" s="166"/>
      <c r="DL124" s="166"/>
      <c r="DM124" s="166"/>
      <c r="DN124" s="166"/>
      <c r="DO124" s="166"/>
      <c r="DP124" s="166"/>
      <c r="DS124" s="28"/>
      <c r="DT124" s="156"/>
      <c r="DU124" s="17"/>
      <c r="DV124" s="17"/>
      <c r="DW124" s="17"/>
      <c r="DX124" s="17"/>
      <c r="DY124" s="17"/>
      <c r="DZ124" s="17"/>
      <c r="EA124" s="17"/>
      <c r="EB124" s="17"/>
      <c r="EC124" s="17"/>
    </row>
    <row r="125" spans="1:133" ht="15" customHeight="1" x14ac:dyDescent="0.2">
      <c r="A125" s="738"/>
      <c r="B125" s="738"/>
      <c r="C125" s="738"/>
      <c r="D125" s="239"/>
      <c r="F125" s="16"/>
      <c r="G125" s="752"/>
      <c r="H125" s="752"/>
      <c r="I125" s="752"/>
      <c r="J125" s="752"/>
      <c r="M125" s="296"/>
      <c r="N125" s="297"/>
      <c r="O125" s="297"/>
      <c r="P125" s="268"/>
      <c r="U125" s="1"/>
      <c r="V125" s="1"/>
      <c r="W125" s="1"/>
      <c r="X125" s="1"/>
      <c r="Y125" s="160"/>
      <c r="Z125" s="160"/>
      <c r="AA125" s="165"/>
      <c r="AB125" s="165"/>
      <c r="AC125" s="165"/>
      <c r="AD125" s="160"/>
      <c r="AE125" s="160"/>
      <c r="AF125" s="165"/>
      <c r="AG125" s="165"/>
      <c r="AH125" s="160"/>
      <c r="AK125" s="1"/>
      <c r="AN125" s="125"/>
      <c r="AP125" s="131"/>
      <c r="AY125" s="140"/>
      <c r="AZ125" s="284"/>
      <c r="BA125" s="629"/>
      <c r="BB125" s="629"/>
      <c r="BC125" s="629"/>
      <c r="BD125" s="629"/>
      <c r="BE125" s="629"/>
      <c r="BF125" s="629"/>
      <c r="BG125" s="629"/>
      <c r="BH125" s="629"/>
      <c r="BI125" s="629"/>
      <c r="BJ125" s="629"/>
      <c r="BK125" s="629"/>
      <c r="BL125" s="629"/>
      <c r="BM125" s="629"/>
      <c r="BN125" s="629"/>
      <c r="BO125" s="629"/>
      <c r="BP125" s="44"/>
      <c r="CF125" s="1"/>
      <c r="CG125" s="627"/>
      <c r="CH125" s="627"/>
      <c r="CI125" s="627"/>
      <c r="CJ125" s="627"/>
      <c r="CK125" s="627"/>
      <c r="CL125" s="627"/>
      <c r="CM125" s="627"/>
      <c r="CN125" s="627"/>
      <c r="CO125" s="627"/>
      <c r="CP125" s="627"/>
      <c r="CQ125" s="627"/>
      <c r="CR125" s="627"/>
      <c r="CS125" s="627"/>
      <c r="CT125" s="627"/>
      <c r="CU125" s="627"/>
      <c r="CY125" s="44"/>
      <c r="CZ125" s="39"/>
      <c r="DI125" s="16"/>
      <c r="DJ125" s="16"/>
      <c r="DK125" s="16"/>
      <c r="DL125" s="16"/>
      <c r="DM125" s="16"/>
      <c r="DN125" s="16"/>
      <c r="DO125" s="16"/>
      <c r="DP125" s="16"/>
      <c r="DS125" s="28"/>
      <c r="DT125" s="156"/>
      <c r="DU125" s="17"/>
      <c r="DV125" s="17"/>
      <c r="DW125" s="17"/>
      <c r="DX125" s="17"/>
      <c r="DY125" s="17"/>
      <c r="DZ125" s="17"/>
      <c r="EA125" s="17"/>
      <c r="EB125" s="17"/>
      <c r="EC125" s="17"/>
    </row>
    <row r="126" spans="1:133" ht="15" customHeight="1" x14ac:dyDescent="0.2">
      <c r="A126" s="738"/>
      <c r="B126" s="738"/>
      <c r="C126" s="738"/>
      <c r="D126" s="239"/>
      <c r="F126" s="16"/>
      <c r="G126" s="752"/>
      <c r="H126" s="752"/>
      <c r="I126" s="752"/>
      <c r="J126" s="752"/>
      <c r="M126" s="296"/>
      <c r="N126" s="297"/>
      <c r="O126" s="297"/>
      <c r="P126" s="268"/>
      <c r="U126" s="1"/>
      <c r="V126" s="1"/>
      <c r="W126" s="1"/>
      <c r="X126" s="1"/>
      <c r="Y126" s="160"/>
      <c r="Z126" s="160"/>
      <c r="AA126" s="165"/>
      <c r="AB126" s="165"/>
      <c r="AC126" s="165"/>
      <c r="AD126" s="160"/>
      <c r="AE126" s="160"/>
      <c r="AF126" s="165"/>
      <c r="AG126" s="165"/>
      <c r="AH126" s="160"/>
      <c r="AI126" s="633" t="s">
        <v>547</v>
      </c>
      <c r="AJ126" s="633"/>
      <c r="AK126" s="633"/>
      <c r="AL126" s="633"/>
      <c r="AM126" s="633"/>
      <c r="AN126" s="633"/>
      <c r="AO126" s="633"/>
      <c r="AP126" s="633"/>
      <c r="AQ126" s="633"/>
      <c r="AR126" s="633"/>
      <c r="AS126" s="633"/>
      <c r="AT126" s="633"/>
      <c r="AU126" s="633"/>
      <c r="AV126" s="633"/>
      <c r="AW126" s="633"/>
      <c r="AX126" s="633"/>
      <c r="AY126" s="633"/>
      <c r="AZ126" s="284"/>
      <c r="BA126" s="629"/>
      <c r="BB126" s="629"/>
      <c r="BC126" s="629"/>
      <c r="BD126" s="629"/>
      <c r="BE126" s="629"/>
      <c r="BF126" s="629"/>
      <c r="BG126" s="629"/>
      <c r="BH126" s="629"/>
      <c r="BI126" s="629"/>
      <c r="BJ126" s="629"/>
      <c r="BK126" s="629"/>
      <c r="BL126" s="629"/>
      <c r="BM126" s="629"/>
      <c r="BN126" s="629"/>
      <c r="BO126" s="629"/>
      <c r="BP126" s="44"/>
      <c r="BQ126" s="629" t="s">
        <v>638</v>
      </c>
      <c r="BR126" s="629"/>
      <c r="BS126" s="629"/>
      <c r="BT126" s="629"/>
      <c r="BU126" s="629"/>
      <c r="BV126" s="629"/>
      <c r="BW126" s="629"/>
      <c r="BX126" s="629"/>
      <c r="BY126" s="629"/>
      <c r="BZ126" s="629"/>
      <c r="CA126" s="629"/>
      <c r="CB126" s="629"/>
      <c r="CC126" s="629"/>
      <c r="CD126" s="629"/>
      <c r="CE126" s="629"/>
      <c r="CF126" s="270"/>
      <c r="CG126" s="627"/>
      <c r="CH126" s="627"/>
      <c r="CI126" s="627"/>
      <c r="CJ126" s="627"/>
      <c r="CK126" s="627"/>
      <c r="CL126" s="627"/>
      <c r="CM126" s="627"/>
      <c r="CN126" s="627"/>
      <c r="CO126" s="627"/>
      <c r="CP126" s="627"/>
      <c r="CQ126" s="627"/>
      <c r="CR126" s="627"/>
      <c r="CS126" s="627"/>
      <c r="CT126" s="627"/>
      <c r="CU126" s="627"/>
      <c r="CV126" s="44"/>
      <c r="CW126" s="44"/>
      <c r="CX126" s="44"/>
      <c r="CY126" s="44"/>
      <c r="CZ126" s="39"/>
      <c r="DI126" s="16"/>
      <c r="DJ126" s="16"/>
      <c r="DK126" s="16"/>
      <c r="DL126" s="16"/>
      <c r="DM126" s="16"/>
      <c r="DN126" s="16"/>
      <c r="DO126" s="16"/>
      <c r="DP126" s="16"/>
      <c r="DS126" s="28"/>
      <c r="DT126" s="156"/>
      <c r="DU126" s="17"/>
      <c r="DV126" s="17"/>
      <c r="DW126" s="17"/>
      <c r="DX126" s="17"/>
      <c r="DY126" s="17"/>
      <c r="DZ126" s="17"/>
      <c r="EA126" s="17"/>
      <c r="EB126" s="17"/>
      <c r="EC126" s="17"/>
    </row>
    <row r="127" spans="1:133" ht="15" customHeight="1" x14ac:dyDescent="0.2">
      <c r="A127" s="738"/>
      <c r="B127" s="738"/>
      <c r="C127" s="738"/>
      <c r="D127" s="239"/>
      <c r="F127" s="16"/>
      <c r="G127" s="752"/>
      <c r="H127" s="752"/>
      <c r="I127" s="752"/>
      <c r="J127" s="752"/>
      <c r="M127" s="296"/>
      <c r="N127" s="297"/>
      <c r="O127" s="297"/>
      <c r="P127" s="268"/>
      <c r="U127" s="1"/>
      <c r="V127" s="1"/>
      <c r="W127" s="1"/>
      <c r="X127" s="1"/>
      <c r="Y127" s="160"/>
      <c r="Z127" s="160"/>
      <c r="AA127" s="165"/>
      <c r="AB127" s="165"/>
      <c r="AC127" s="165"/>
      <c r="AD127" s="160"/>
      <c r="AE127" s="160"/>
      <c r="AF127" s="160"/>
      <c r="AG127" s="160"/>
      <c r="AH127" s="160"/>
      <c r="AI127" s="633"/>
      <c r="AJ127" s="633"/>
      <c r="AK127" s="633"/>
      <c r="AL127" s="633"/>
      <c r="AM127" s="633"/>
      <c r="AN127" s="633"/>
      <c r="AO127" s="633"/>
      <c r="AP127" s="633"/>
      <c r="AQ127" s="633"/>
      <c r="AR127" s="633"/>
      <c r="AS127" s="633"/>
      <c r="AT127" s="633"/>
      <c r="AU127" s="633"/>
      <c r="AV127" s="633"/>
      <c r="AW127" s="633"/>
      <c r="AX127" s="633"/>
      <c r="AY127" s="633"/>
      <c r="AZ127" s="284"/>
      <c r="BA127" s="192"/>
      <c r="BB127" s="192"/>
      <c r="BC127" s="192"/>
      <c r="BD127" s="192"/>
      <c r="BE127" s="192"/>
      <c r="BF127" s="192"/>
      <c r="BG127" s="192"/>
      <c r="BH127" s="192"/>
      <c r="BI127" s="192"/>
      <c r="BJ127" s="192"/>
      <c r="BK127" s="192"/>
      <c r="BL127" s="192"/>
      <c r="BM127" s="192"/>
      <c r="BN127" s="192"/>
      <c r="BO127" s="192"/>
      <c r="BP127" s="44"/>
      <c r="BQ127" s="629"/>
      <c r="BR127" s="629"/>
      <c r="BS127" s="629"/>
      <c r="BT127" s="629"/>
      <c r="BU127" s="629"/>
      <c r="BV127" s="629"/>
      <c r="BW127" s="629"/>
      <c r="BX127" s="629"/>
      <c r="BY127" s="629"/>
      <c r="BZ127" s="629"/>
      <c r="CA127" s="629"/>
      <c r="CB127" s="629"/>
      <c r="CC127" s="629"/>
      <c r="CD127" s="629"/>
      <c r="CE127" s="629"/>
      <c r="CF127" s="270"/>
      <c r="CG127" s="627"/>
      <c r="CH127" s="627"/>
      <c r="CI127" s="627"/>
      <c r="CJ127" s="627"/>
      <c r="CK127" s="627"/>
      <c r="CL127" s="627"/>
      <c r="CM127" s="627"/>
      <c r="CN127" s="627"/>
      <c r="CO127" s="627"/>
      <c r="CP127" s="627"/>
      <c r="CQ127" s="627"/>
      <c r="CR127" s="627"/>
      <c r="CS127" s="627"/>
      <c r="CT127" s="627"/>
      <c r="CU127" s="627"/>
      <c r="CV127" s="44"/>
      <c r="CW127" s="44"/>
      <c r="CX127" s="44"/>
      <c r="CY127" s="44"/>
      <c r="CZ127" s="39"/>
      <c r="DI127" s="16"/>
      <c r="DJ127" s="16"/>
      <c r="DK127" s="16"/>
      <c r="DL127" s="16"/>
      <c r="DM127" s="16"/>
      <c r="DN127" s="16"/>
      <c r="DO127" s="16"/>
      <c r="DP127" s="16"/>
      <c r="DS127" s="28"/>
      <c r="DT127" s="156"/>
      <c r="DU127" s="17"/>
      <c r="DV127" s="17"/>
      <c r="DW127" s="17"/>
      <c r="DX127" s="17"/>
      <c r="DY127" s="17"/>
      <c r="DZ127" s="17"/>
      <c r="EA127" s="17"/>
      <c r="EB127" s="17"/>
      <c r="EC127" s="17"/>
    </row>
    <row r="128" spans="1:133" ht="39.75" customHeight="1" x14ac:dyDescent="0.2">
      <c r="A128" s="738"/>
      <c r="B128" s="738"/>
      <c r="C128" s="738"/>
      <c r="D128" s="239"/>
      <c r="F128" s="16"/>
      <c r="G128" s="752"/>
      <c r="H128" s="752"/>
      <c r="I128" s="752"/>
      <c r="J128" s="752"/>
      <c r="M128" s="296"/>
      <c r="N128" s="297"/>
      <c r="O128" s="297"/>
      <c r="P128" s="268"/>
      <c r="U128" s="1"/>
      <c r="V128" s="1"/>
      <c r="W128" s="1"/>
      <c r="X128" s="1"/>
      <c r="Y128" s="160"/>
      <c r="Z128" s="160"/>
      <c r="AA128" s="165"/>
      <c r="AB128" s="165"/>
      <c r="AC128" s="165"/>
      <c r="AD128" s="160"/>
      <c r="AE128" s="160"/>
      <c r="AF128" s="160"/>
      <c r="AG128" s="160"/>
      <c r="AH128" s="160"/>
      <c r="AI128" s="633"/>
      <c r="AJ128" s="633"/>
      <c r="AK128" s="633"/>
      <c r="AL128" s="633"/>
      <c r="AM128" s="633"/>
      <c r="AN128" s="633"/>
      <c r="AO128" s="633"/>
      <c r="AP128" s="633"/>
      <c r="AQ128" s="633"/>
      <c r="AR128" s="633"/>
      <c r="AS128" s="633"/>
      <c r="AT128" s="633"/>
      <c r="AU128" s="633"/>
      <c r="AV128" s="633"/>
      <c r="AW128" s="633"/>
      <c r="AX128" s="633"/>
      <c r="AY128" s="633"/>
      <c r="AZ128" s="284"/>
      <c r="BA128" s="192"/>
      <c r="BB128" s="192"/>
      <c r="BC128" s="192"/>
      <c r="BD128" s="192"/>
      <c r="BE128" s="192"/>
      <c r="BF128" s="192"/>
      <c r="BG128" s="192"/>
      <c r="BH128" s="192"/>
      <c r="BI128" s="192"/>
      <c r="BJ128" s="192"/>
      <c r="BK128" s="192"/>
      <c r="BL128" s="192"/>
      <c r="BM128" s="192"/>
      <c r="BN128" s="192"/>
      <c r="BO128" s="192"/>
      <c r="BP128" s="44"/>
      <c r="BQ128" s="629"/>
      <c r="BR128" s="629"/>
      <c r="BS128" s="629"/>
      <c r="BT128" s="629"/>
      <c r="BU128" s="629"/>
      <c r="BV128" s="629"/>
      <c r="BW128" s="629"/>
      <c r="BX128" s="629"/>
      <c r="BY128" s="629"/>
      <c r="BZ128" s="629"/>
      <c r="CA128" s="629"/>
      <c r="CB128" s="629"/>
      <c r="CC128" s="629"/>
      <c r="CD128" s="629"/>
      <c r="CE128" s="629"/>
      <c r="CF128" s="270"/>
      <c r="CG128" s="627"/>
      <c r="CH128" s="627"/>
      <c r="CI128" s="627"/>
      <c r="CJ128" s="627"/>
      <c r="CK128" s="627"/>
      <c r="CL128" s="627"/>
      <c r="CM128" s="627"/>
      <c r="CN128" s="627"/>
      <c r="CO128" s="627"/>
      <c r="CP128" s="627"/>
      <c r="CQ128" s="627"/>
      <c r="CR128" s="627"/>
      <c r="CS128" s="627"/>
      <c r="CT128" s="627"/>
      <c r="CU128" s="627"/>
      <c r="CV128" s="44"/>
      <c r="CW128" s="44"/>
      <c r="CX128" s="44"/>
      <c r="CY128" s="44"/>
      <c r="CZ128" s="39"/>
      <c r="DA128" s="39"/>
      <c r="DB128" s="39"/>
      <c r="DC128" s="39"/>
      <c r="DD128" s="39"/>
      <c r="DE128" s="167"/>
      <c r="DF128" s="167"/>
      <c r="DG128" s="16"/>
      <c r="DH128" s="16"/>
      <c r="DI128" s="16"/>
      <c r="DJ128" s="16"/>
      <c r="DK128" s="16"/>
      <c r="DL128" s="16"/>
      <c r="DM128" s="16"/>
      <c r="DN128" s="16"/>
      <c r="DO128" s="16"/>
      <c r="DP128" s="16"/>
      <c r="DS128" s="28"/>
      <c r="DT128" s="156"/>
      <c r="DU128" s="17"/>
      <c r="DV128" s="17"/>
      <c r="DW128" s="17"/>
      <c r="DX128" s="17"/>
      <c r="DY128" s="17"/>
      <c r="DZ128" s="17"/>
      <c r="EA128" s="17"/>
      <c r="EB128" s="17"/>
      <c r="EC128" s="17"/>
    </row>
    <row r="129" spans="1:133" ht="16.5" thickBot="1" x14ac:dyDescent="0.25">
      <c r="A129" s="168"/>
      <c r="B129" s="169"/>
      <c r="C129" s="170"/>
      <c r="D129" s="240"/>
      <c r="E129" s="170"/>
      <c r="F129" s="170"/>
      <c r="G129" s="170"/>
      <c r="H129" s="171"/>
      <c r="I129" s="172"/>
      <c r="J129" s="172"/>
      <c r="K129" s="240"/>
      <c r="L129" s="169"/>
      <c r="M129" s="173"/>
      <c r="N129" s="298"/>
      <c r="O129" s="298"/>
      <c r="P129" s="174"/>
      <c r="Q129" s="191"/>
      <c r="R129" s="191"/>
      <c r="S129" s="191"/>
      <c r="T129" s="191"/>
      <c r="U129" s="191"/>
      <c r="V129" s="191"/>
      <c r="W129" s="191"/>
      <c r="X129" s="191"/>
      <c r="Y129" s="169"/>
      <c r="Z129" s="169"/>
      <c r="AA129" s="169"/>
      <c r="AB129" s="169"/>
      <c r="AC129" s="169"/>
      <c r="AD129" s="169"/>
      <c r="AE129" s="169"/>
      <c r="AF129" s="169"/>
      <c r="AG129" s="169"/>
      <c r="AH129" s="169"/>
      <c r="AI129" s="169"/>
      <c r="AJ129" s="169"/>
      <c r="AK129" s="169"/>
      <c r="AL129" s="175"/>
      <c r="AM129" s="175"/>
      <c r="AN129" s="175"/>
      <c r="AO129" s="176"/>
      <c r="AP129" s="176"/>
      <c r="AQ129" s="175"/>
      <c r="AR129" s="175"/>
      <c r="AS129" s="175"/>
      <c r="AT129" s="175"/>
      <c r="AU129" s="175"/>
      <c r="AV129" s="175"/>
      <c r="AW129" s="175"/>
      <c r="AX129" s="175"/>
      <c r="AY129" s="175"/>
      <c r="AZ129" s="176"/>
      <c r="BA129" s="195"/>
      <c r="BB129" s="195"/>
      <c r="BC129" s="195"/>
      <c r="BD129" s="195"/>
      <c r="BE129" s="195"/>
      <c r="BF129" s="195"/>
      <c r="BG129" s="195"/>
      <c r="BH129" s="195"/>
      <c r="BI129" s="195"/>
      <c r="BJ129" s="195"/>
      <c r="BK129" s="195"/>
      <c r="BL129" s="195"/>
      <c r="BM129" s="195"/>
      <c r="BN129" s="195"/>
      <c r="BO129" s="195"/>
      <c r="BP129" s="177"/>
      <c r="BQ129" s="195"/>
      <c r="BR129" s="195"/>
      <c r="BS129" s="195"/>
      <c r="BT129" s="177"/>
      <c r="BU129" s="177"/>
      <c r="BV129" s="177"/>
      <c r="BW129" s="177"/>
      <c r="BX129" s="177"/>
      <c r="BY129" s="177"/>
      <c r="BZ129" s="177"/>
      <c r="CA129" s="177"/>
      <c r="CB129" s="177"/>
      <c r="CC129" s="177"/>
      <c r="CD129" s="177"/>
      <c r="CE129" s="177"/>
      <c r="CF129" s="177"/>
      <c r="CG129" s="177"/>
      <c r="CH129" s="177"/>
      <c r="CI129" s="177"/>
      <c r="CJ129" s="177"/>
      <c r="CK129" s="177"/>
      <c r="CL129" s="177"/>
      <c r="CM129" s="177"/>
      <c r="CN129" s="177"/>
      <c r="CO129" s="177"/>
      <c r="CP129" s="177"/>
      <c r="CQ129" s="177"/>
      <c r="CR129" s="177"/>
      <c r="CS129" s="177"/>
      <c r="CT129" s="177"/>
      <c r="CU129" s="177"/>
      <c r="CV129" s="177"/>
      <c r="CW129" s="177"/>
      <c r="CX129" s="177"/>
      <c r="CY129" s="177"/>
      <c r="CZ129" s="178"/>
      <c r="DA129" s="178"/>
      <c r="DB129" s="178"/>
      <c r="DC129" s="178"/>
      <c r="DD129" s="178"/>
      <c r="DE129" s="179"/>
      <c r="DF129" s="179"/>
      <c r="DG129" s="171"/>
      <c r="DH129" s="171"/>
      <c r="DI129" s="171"/>
      <c r="DJ129" s="171"/>
      <c r="DK129" s="171"/>
      <c r="DL129" s="171"/>
      <c r="DM129" s="171"/>
      <c r="DN129" s="171"/>
      <c r="DO129" s="171"/>
      <c r="DP129" s="171"/>
      <c r="DS129" s="172"/>
      <c r="DT129" s="180"/>
      <c r="DU129" s="17"/>
      <c r="DV129" s="17"/>
      <c r="DW129" s="17"/>
      <c r="DX129" s="17"/>
      <c r="DY129" s="17"/>
      <c r="DZ129" s="17"/>
      <c r="EA129" s="17"/>
      <c r="EB129" s="17"/>
      <c r="EC129" s="17"/>
    </row>
    <row r="130" spans="1:133" ht="16.5" thickTop="1" x14ac:dyDescent="0.2">
      <c r="A130" s="7"/>
      <c r="B130" s="30"/>
      <c r="C130" s="117"/>
      <c r="D130" s="241"/>
      <c r="E130" s="117"/>
      <c r="F130" s="117"/>
      <c r="G130" s="117"/>
      <c r="H130" s="16"/>
      <c r="I130" s="28"/>
      <c r="J130" s="28"/>
      <c r="K130" s="241"/>
      <c r="L130" s="30"/>
      <c r="M130" s="136"/>
      <c r="N130" s="297"/>
      <c r="O130" s="297"/>
      <c r="P130" s="157"/>
      <c r="Q130" s="24"/>
      <c r="R130" s="24"/>
      <c r="S130" s="24"/>
      <c r="T130" s="24"/>
      <c r="U130" s="24"/>
      <c r="V130" s="24"/>
      <c r="W130" s="24"/>
      <c r="X130" s="24"/>
      <c r="Y130" s="30"/>
      <c r="Z130" s="30"/>
      <c r="AA130" s="30"/>
      <c r="AB130" s="30"/>
      <c r="AC130" s="30"/>
      <c r="AD130" s="30"/>
      <c r="AE130" s="30"/>
      <c r="AF130" s="30"/>
      <c r="AG130" s="30"/>
      <c r="AH130" s="30"/>
      <c r="AI130" s="30"/>
      <c r="AJ130" s="30"/>
      <c r="AK130" s="158"/>
      <c r="AL130" s="158"/>
      <c r="AM130" s="158"/>
      <c r="AN130" s="140"/>
      <c r="AO130" s="140"/>
      <c r="AP130" s="158"/>
      <c r="AQ130" s="158"/>
      <c r="AR130" s="158"/>
      <c r="AS130" s="158"/>
      <c r="AT130" s="158"/>
      <c r="AU130" s="158"/>
      <c r="AV130" s="158"/>
      <c r="AW130" s="158"/>
      <c r="AX130" s="158"/>
      <c r="AY130" s="140"/>
      <c r="AZ130" s="269"/>
      <c r="BA130" s="269"/>
      <c r="BB130" s="269"/>
      <c r="BC130" s="269"/>
      <c r="BD130" s="269"/>
      <c r="BE130" s="269"/>
      <c r="BF130" s="269"/>
      <c r="BG130" s="269"/>
      <c r="BH130" s="269"/>
      <c r="BI130" s="269"/>
      <c r="BJ130" s="269"/>
      <c r="BK130" s="269"/>
      <c r="BL130" s="269"/>
      <c r="BM130" s="269"/>
      <c r="BN130" s="269"/>
      <c r="BO130" s="44"/>
      <c r="BP130" s="44"/>
      <c r="BQ130" s="269"/>
      <c r="BR130" s="269"/>
      <c r="BS130" s="44"/>
      <c r="BT130" s="44"/>
      <c r="BU130" s="44"/>
      <c r="BV130" s="44"/>
      <c r="BW130" s="44"/>
      <c r="BX130" s="44"/>
      <c r="BY130" s="44"/>
      <c r="BZ130" s="44"/>
      <c r="CA130" s="44"/>
      <c r="CB130" s="44"/>
      <c r="CC130" s="44"/>
      <c r="CD130" s="44"/>
      <c r="CE130" s="44"/>
      <c r="CF130" s="44"/>
      <c r="CG130" s="44"/>
      <c r="CH130" s="44"/>
      <c r="CI130" s="44"/>
      <c r="CJ130" s="44"/>
      <c r="CK130" s="44"/>
      <c r="CL130" s="44"/>
      <c r="CM130" s="44"/>
      <c r="CN130" s="44"/>
      <c r="CO130" s="44"/>
      <c r="CP130" s="44"/>
      <c r="CQ130" s="44"/>
      <c r="CR130" s="44"/>
      <c r="CS130" s="44"/>
      <c r="CT130" s="44"/>
      <c r="CU130" s="44"/>
      <c r="CV130" s="44"/>
      <c r="CW130" s="44"/>
      <c r="CX130" s="44"/>
      <c r="CY130" s="39"/>
      <c r="CZ130" s="39"/>
      <c r="DA130" s="39"/>
      <c r="DB130" s="39"/>
      <c r="DC130" s="39"/>
      <c r="DD130" s="167"/>
      <c r="DE130" s="167"/>
      <c r="DF130" s="16"/>
      <c r="DG130" s="16"/>
      <c r="DH130" s="16"/>
      <c r="DI130" s="16"/>
      <c r="DJ130" s="16"/>
      <c r="DK130" s="16"/>
      <c r="DL130" s="16"/>
      <c r="DM130" s="16"/>
      <c r="DN130" s="16"/>
      <c r="DO130" s="16"/>
      <c r="DP130" s="16"/>
      <c r="DS130" s="28"/>
      <c r="DT130" s="17"/>
      <c r="DU130" s="17"/>
      <c r="DV130" s="17"/>
      <c r="DW130" s="17"/>
      <c r="DX130" s="17"/>
      <c r="DY130" s="17"/>
      <c r="DZ130" s="17"/>
      <c r="EA130" s="17"/>
      <c r="EB130" s="17"/>
    </row>
    <row r="131" spans="1:133" x14ac:dyDescent="0.2">
      <c r="A131" s="8"/>
      <c r="B131" s="80"/>
      <c r="C131" s="80"/>
      <c r="D131" s="242"/>
      <c r="E131" s="17"/>
      <c r="F131" s="19"/>
      <c r="G131" s="19"/>
      <c r="H131" s="19"/>
      <c r="I131" s="17"/>
      <c r="J131" s="17"/>
      <c r="K131" s="19"/>
      <c r="Q131" s="197"/>
      <c r="R131" s="197"/>
      <c r="S131" s="133"/>
      <c r="T131" s="133"/>
      <c r="BE131" s="34"/>
      <c r="BF131" s="34"/>
      <c r="BG131" s="34"/>
      <c r="BH131" s="34"/>
      <c r="BI131" s="61"/>
      <c r="BJ131" s="61"/>
      <c r="BK131" s="61"/>
      <c r="BL131" s="61"/>
      <c r="BM131" s="34"/>
      <c r="BN131" s="34"/>
      <c r="BO131" s="34"/>
      <c r="BP131" s="34"/>
      <c r="BQ131" s="34"/>
      <c r="BR131" s="34"/>
      <c r="BS131" s="34"/>
      <c r="BT131" s="34"/>
      <c r="BU131" s="34"/>
      <c r="BV131" s="34"/>
      <c r="BW131" s="34"/>
      <c r="BX131" s="34"/>
      <c r="BY131" s="34"/>
      <c r="BZ131" s="34"/>
      <c r="CA131" s="34"/>
      <c r="CB131" s="34"/>
      <c r="CC131" s="34"/>
      <c r="CD131" s="34"/>
      <c r="CE131" s="34"/>
      <c r="CF131" s="34"/>
      <c r="CG131" s="34"/>
      <c r="CH131" s="34"/>
      <c r="CI131" s="34"/>
      <c r="CJ131" s="34"/>
      <c r="CK131" s="34"/>
      <c r="CL131" s="34"/>
      <c r="CM131" s="34"/>
      <c r="CN131" s="34"/>
      <c r="CO131" s="34"/>
      <c r="CP131" s="34"/>
      <c r="CQ131" s="34"/>
      <c r="CR131" s="34"/>
      <c r="CS131" s="34"/>
      <c r="CT131" s="34"/>
      <c r="CU131" s="34"/>
      <c r="CV131" s="34"/>
      <c r="CW131" s="34"/>
      <c r="CX131" s="34"/>
      <c r="CY131" s="60"/>
      <c r="CZ131" s="60"/>
      <c r="DA131" s="60"/>
      <c r="DB131" s="60"/>
      <c r="DC131" s="60"/>
      <c r="DD131" s="33"/>
      <c r="DE131" s="33"/>
      <c r="DF131" s="19"/>
      <c r="DG131" s="19"/>
      <c r="DH131" s="19"/>
      <c r="DI131" s="19"/>
      <c r="DJ131" s="19"/>
      <c r="DK131" s="19"/>
      <c r="DL131" s="19"/>
      <c r="DM131" s="19"/>
      <c r="DN131" s="19"/>
      <c r="DO131" s="19"/>
      <c r="DP131" s="19"/>
      <c r="DS131" s="17"/>
      <c r="DT131" s="17"/>
      <c r="DU131" s="17"/>
      <c r="DV131" s="17"/>
      <c r="DW131" s="17"/>
      <c r="DX131" s="17"/>
      <c r="DY131" s="17"/>
      <c r="DZ131" s="17"/>
      <c r="EA131" s="17"/>
      <c r="EB131" s="17"/>
    </row>
    <row r="132" spans="1:133" x14ac:dyDescent="0.2">
      <c r="A132" s="8"/>
      <c r="B132" s="193"/>
      <c r="C132" s="193"/>
      <c r="D132" s="243"/>
      <c r="E132" s="193"/>
      <c r="F132" s="193"/>
      <c r="G132" s="193"/>
      <c r="H132" s="193"/>
      <c r="I132" s="193"/>
      <c r="J132" s="193"/>
      <c r="K132" s="243"/>
      <c r="Q132" s="197" t="s">
        <v>376</v>
      </c>
      <c r="R132" s="198" t="s">
        <v>57</v>
      </c>
      <c r="S132" s="44"/>
      <c r="T132" s="44"/>
      <c r="U132" s="1"/>
      <c r="V132" s="1"/>
      <c r="Y132" s="131"/>
      <c r="Z132" s="131"/>
      <c r="AA132" s="131"/>
      <c r="AB132" s="131"/>
      <c r="AC132" s="131"/>
      <c r="AD132" s="131"/>
      <c r="AE132" s="131"/>
      <c r="AF132" s="131"/>
      <c r="AG132" s="131"/>
      <c r="AO132" s="45"/>
      <c r="AP132" s="34"/>
      <c r="AQ132" s="34"/>
      <c r="AR132" s="34"/>
      <c r="AS132" s="34"/>
      <c r="AT132" s="34"/>
      <c r="AU132" s="34"/>
      <c r="AV132" s="34"/>
      <c r="AW132" s="34"/>
      <c r="AX132" s="34"/>
      <c r="AY132" s="45"/>
      <c r="AZ132" s="1"/>
      <c r="BA132" s="1"/>
      <c r="BC132" s="1"/>
      <c r="BD132" s="1"/>
      <c r="BE132" s="1"/>
      <c r="BF132" s="1"/>
      <c r="BG132" s="1"/>
      <c r="BH132" s="1"/>
      <c r="BI132" s="1"/>
      <c r="BJ132" s="1"/>
      <c r="BK132" s="1"/>
      <c r="BL132" s="1"/>
      <c r="BM132" s="1"/>
      <c r="BN132" s="1"/>
      <c r="BO132" s="34"/>
      <c r="BP132" s="34"/>
      <c r="BQ132" s="1"/>
      <c r="BR132" s="1"/>
      <c r="BS132" s="34"/>
      <c r="BT132" s="34"/>
      <c r="BU132" s="34"/>
      <c r="BV132" s="34"/>
      <c r="BW132" s="34"/>
      <c r="BX132" s="34"/>
      <c r="BY132" s="34"/>
      <c r="BZ132" s="34"/>
      <c r="CA132" s="34"/>
      <c r="CB132" s="34"/>
      <c r="CC132" s="34"/>
      <c r="CD132" s="34"/>
      <c r="CE132" s="34"/>
      <c r="CF132" s="34"/>
      <c r="CV132" s="34"/>
      <c r="CW132" s="34"/>
      <c r="CX132" s="34"/>
      <c r="CY132" s="60"/>
      <c r="DH132" s="19"/>
      <c r="DI132" s="19"/>
      <c r="DJ132" s="19"/>
      <c r="DK132" s="19"/>
      <c r="DL132" s="19"/>
      <c r="DM132" s="19"/>
      <c r="DN132" s="19"/>
      <c r="DO132" s="19"/>
      <c r="DP132" s="19"/>
      <c r="DS132" s="17"/>
      <c r="DT132" s="17"/>
      <c r="DU132" s="17"/>
      <c r="DV132" s="17"/>
      <c r="DW132" s="17"/>
      <c r="DX132" s="17"/>
      <c r="DY132" s="17"/>
      <c r="DZ132" s="17"/>
      <c r="EA132" s="17"/>
      <c r="EB132" s="17"/>
    </row>
    <row r="133" spans="1:133" ht="12.75" customHeight="1" x14ac:dyDescent="0.2">
      <c r="A133" s="8"/>
      <c r="B133" s="263" t="s">
        <v>564</v>
      </c>
      <c r="C133" s="263" t="s">
        <v>565</v>
      </c>
      <c r="D133" s="263" t="s">
        <v>566</v>
      </c>
      <c r="E133" s="263"/>
      <c r="F133" s="263"/>
      <c r="G133" s="263"/>
      <c r="H133" s="263"/>
      <c r="I133" s="193"/>
      <c r="J133" s="193"/>
      <c r="K133" s="243"/>
      <c r="N133" s="8"/>
      <c r="O133" s="8"/>
      <c r="P133" s="49"/>
      <c r="Q133" s="197" t="s">
        <v>373</v>
      </c>
      <c r="R133" s="198" t="s">
        <v>56</v>
      </c>
      <c r="S133" s="44"/>
      <c r="T133" s="44"/>
      <c r="U133" s="1"/>
      <c r="V133" s="1"/>
      <c r="Y133" s="131"/>
      <c r="Z133" s="131"/>
      <c r="AA133" s="131"/>
      <c r="AB133" s="131"/>
      <c r="AC133" s="131"/>
      <c r="AD133" s="131"/>
      <c r="AE133" s="131"/>
      <c r="AF133" s="131"/>
      <c r="AG133" s="131"/>
      <c r="AK133" s="1"/>
      <c r="AL133" s="1"/>
      <c r="AM133" s="1"/>
      <c r="AN133" s="1"/>
      <c r="AO133" s="1"/>
      <c r="AP133" s="1"/>
      <c r="AQ133" s="1"/>
      <c r="AR133" s="1"/>
      <c r="AS133" s="1"/>
      <c r="AT133" s="1"/>
      <c r="AU133" s="1"/>
      <c r="AV133" s="1"/>
      <c r="AW133" s="1"/>
      <c r="AX133" s="1"/>
      <c r="AZ133" s="1"/>
      <c r="BA133" s="1"/>
      <c r="BC133" s="1"/>
      <c r="BD133" s="1"/>
      <c r="BE133" s="1"/>
      <c r="BF133" s="1"/>
      <c r="BG133" s="1"/>
      <c r="BH133" s="1"/>
      <c r="BI133" s="1"/>
      <c r="BJ133" s="1"/>
      <c r="BK133" s="1"/>
      <c r="BL133" s="1"/>
      <c r="BM133" s="1"/>
      <c r="BN133" s="1"/>
      <c r="BO133" s="34"/>
      <c r="BP133" s="1"/>
      <c r="BQ133" s="1"/>
      <c r="BR133" s="1"/>
      <c r="BS133" s="34"/>
      <c r="BT133" s="1"/>
      <c r="BU133" s="1"/>
      <c r="BV133" s="1"/>
      <c r="BW133" s="1"/>
      <c r="BX133" s="1"/>
      <c r="BY133" s="1"/>
      <c r="BZ133" s="1"/>
      <c r="CA133" s="1"/>
      <c r="CB133" s="1"/>
      <c r="CC133" s="1"/>
      <c r="CD133" s="1"/>
      <c r="CE133" s="1"/>
      <c r="CV133" s="1"/>
      <c r="CW133" s="1"/>
      <c r="CX133" s="1"/>
      <c r="CY133" s="60"/>
      <c r="DH133" s="19"/>
      <c r="DI133" s="19"/>
      <c r="DJ133" s="19"/>
      <c r="DK133" s="19"/>
      <c r="DL133" s="19"/>
      <c r="DM133" s="19"/>
      <c r="DN133" s="19"/>
      <c r="DO133" s="19"/>
      <c r="DP133" s="19"/>
      <c r="DS133" s="17"/>
      <c r="DT133" s="17"/>
      <c r="DU133" s="17"/>
      <c r="DV133" s="17"/>
      <c r="DW133" s="17"/>
      <c r="DX133" s="17"/>
      <c r="DY133" s="17"/>
      <c r="DZ133" s="17"/>
      <c r="EA133" s="17"/>
      <c r="EB133" s="17"/>
    </row>
    <row r="134" spans="1:133" x14ac:dyDescent="0.2">
      <c r="A134" s="8"/>
      <c r="B134" s="264">
        <v>1</v>
      </c>
      <c r="C134" s="263">
        <f>B134*27</f>
        <v>27</v>
      </c>
      <c r="D134" s="263">
        <f>C134*28.32</f>
        <v>764.64</v>
      </c>
      <c r="E134" s="263"/>
      <c r="F134" s="263"/>
      <c r="G134" s="263"/>
      <c r="H134" s="263"/>
      <c r="I134" s="193"/>
      <c r="J134" s="193"/>
      <c r="K134" s="243"/>
      <c r="N134" s="8"/>
      <c r="O134" s="8"/>
      <c r="P134" s="49"/>
      <c r="Q134" s="197" t="s">
        <v>374</v>
      </c>
      <c r="R134" s="198" t="s">
        <v>77</v>
      </c>
      <c r="S134" s="44"/>
      <c r="T134" s="44"/>
      <c r="U134" s="1"/>
      <c r="V134" s="1"/>
      <c r="Y134" s="131"/>
      <c r="Z134" s="131"/>
      <c r="AA134" s="131"/>
      <c r="AB134" s="131"/>
      <c r="AC134" s="131"/>
      <c r="AD134" s="131"/>
      <c r="AE134" s="131"/>
      <c r="AF134" s="131"/>
      <c r="AG134" s="131"/>
      <c r="AK134" s="1"/>
      <c r="AL134" s="1"/>
      <c r="AM134" s="1"/>
      <c r="AN134" s="1"/>
      <c r="AO134" s="1"/>
      <c r="AP134" s="1"/>
      <c r="AQ134" s="1"/>
      <c r="AR134" s="1"/>
      <c r="AS134" s="1"/>
      <c r="AT134" s="1"/>
      <c r="AU134" s="1"/>
      <c r="AV134" s="1"/>
      <c r="AW134" s="1"/>
      <c r="AX134" s="1"/>
      <c r="AZ134" s="1"/>
      <c r="BA134" s="1"/>
      <c r="BC134" s="1"/>
      <c r="BD134" s="1"/>
      <c r="BE134" s="1"/>
      <c r="BF134" s="1"/>
      <c r="BG134" s="1"/>
      <c r="BH134" s="1"/>
      <c r="BI134" s="1"/>
      <c r="BJ134" s="1"/>
      <c r="BK134" s="1"/>
      <c r="BL134" s="1"/>
      <c r="BM134" s="1"/>
      <c r="BN134" s="1"/>
      <c r="CV134" s="1"/>
      <c r="CW134" s="1"/>
      <c r="CX134" s="1"/>
      <c r="CY134" s="60"/>
      <c r="DH134" s="19"/>
      <c r="DI134" s="19"/>
      <c r="DJ134" s="19"/>
      <c r="DK134" s="19"/>
      <c r="DL134" s="19"/>
      <c r="DM134" s="19"/>
      <c r="DN134" s="19"/>
      <c r="DO134" s="19"/>
      <c r="DP134" s="19"/>
      <c r="DS134" s="17"/>
      <c r="DT134" s="17"/>
      <c r="DU134" s="17"/>
      <c r="DV134" s="17"/>
      <c r="DW134" s="17"/>
      <c r="DX134" s="17"/>
      <c r="DY134" s="17"/>
      <c r="DZ134" s="17"/>
      <c r="EA134" s="17"/>
      <c r="EB134" s="17"/>
    </row>
    <row r="135" spans="1:133" ht="12.75" customHeight="1" x14ac:dyDescent="0.2">
      <c r="A135" s="8"/>
      <c r="C135" s="193"/>
      <c r="D135" s="243"/>
      <c r="E135" s="193"/>
      <c r="F135" s="193"/>
      <c r="G135" s="193"/>
      <c r="H135" s="193"/>
      <c r="I135" s="193"/>
      <c r="J135" s="193"/>
      <c r="K135" s="243"/>
      <c r="P135" s="49"/>
      <c r="Q135" s="197" t="s">
        <v>77</v>
      </c>
      <c r="R135" s="198" t="s">
        <v>241</v>
      </c>
      <c r="S135" s="133"/>
      <c r="T135" s="133"/>
      <c r="Y135" s="131"/>
      <c r="Z135" s="131"/>
      <c r="AA135" s="131"/>
      <c r="AB135" s="131"/>
      <c r="AC135" s="131"/>
      <c r="AD135" s="131"/>
      <c r="AE135" s="131"/>
      <c r="AF135" s="131"/>
      <c r="AG135" s="131"/>
      <c r="AK135" s="1"/>
      <c r="AL135" s="1"/>
      <c r="AM135" s="1"/>
      <c r="AN135" s="1"/>
      <c r="AO135" s="1"/>
      <c r="AP135" s="1"/>
      <c r="AQ135" s="1"/>
      <c r="AR135" s="1"/>
      <c r="AS135" s="1"/>
      <c r="AT135" s="1"/>
      <c r="AU135" s="1"/>
      <c r="AV135" s="1"/>
      <c r="AW135" s="1"/>
      <c r="AX135" s="1"/>
      <c r="AZ135" s="1"/>
      <c r="BA135" s="1"/>
      <c r="BC135" s="1"/>
      <c r="BD135" s="1"/>
      <c r="BE135" s="1"/>
      <c r="BF135" s="1"/>
      <c r="BG135" s="1"/>
      <c r="BH135" s="1"/>
      <c r="BI135" s="1"/>
      <c r="BJ135" s="1"/>
      <c r="BK135" s="1"/>
      <c r="BL135" s="1"/>
      <c r="BM135" s="1"/>
      <c r="BN135" s="1"/>
      <c r="CV135" s="1"/>
      <c r="CW135" s="1"/>
      <c r="CX135" s="1"/>
      <c r="CY135" s="60"/>
      <c r="DH135" s="19"/>
      <c r="DI135" s="19"/>
      <c r="DJ135" s="19"/>
      <c r="DK135" s="19"/>
      <c r="DL135" s="19"/>
      <c r="DM135" s="19"/>
      <c r="DN135" s="19"/>
      <c r="DO135" s="19"/>
      <c r="DP135" s="19"/>
      <c r="DS135" s="17"/>
      <c r="DT135" s="17"/>
      <c r="DU135" s="17"/>
      <c r="DV135" s="17"/>
      <c r="DW135" s="17"/>
      <c r="DX135" s="17"/>
      <c r="DY135" s="17"/>
      <c r="DZ135" s="17"/>
      <c r="EA135" s="17"/>
      <c r="EB135" s="17"/>
    </row>
    <row r="136" spans="1:133" x14ac:dyDescent="0.2">
      <c r="A136" s="8"/>
      <c r="C136" s="193"/>
      <c r="D136" s="243"/>
      <c r="E136" s="193"/>
      <c r="F136" s="193"/>
      <c r="G136" s="193"/>
      <c r="H136" s="193"/>
      <c r="I136" s="193"/>
      <c r="J136" s="193"/>
      <c r="K136" s="243"/>
      <c r="T136" s="341"/>
      <c r="Y136" s="131"/>
      <c r="Z136" s="131"/>
      <c r="AA136" s="131"/>
      <c r="AB136" s="131"/>
      <c r="AC136" s="131"/>
      <c r="AD136" s="131"/>
      <c r="AE136" s="131"/>
      <c r="AF136" s="131"/>
      <c r="AG136" s="131"/>
      <c r="AK136" s="1"/>
      <c r="AL136" s="1"/>
      <c r="AM136" s="1"/>
      <c r="AN136" s="1"/>
      <c r="AO136" s="1"/>
      <c r="AP136" s="1"/>
      <c r="AQ136" s="1"/>
      <c r="AR136" s="1"/>
      <c r="AS136" s="1"/>
      <c r="AT136" s="1"/>
      <c r="AU136" s="1"/>
      <c r="AV136" s="1"/>
      <c r="AW136" s="1"/>
      <c r="AX136" s="1"/>
      <c r="AZ136" s="1"/>
      <c r="BA136" s="1"/>
      <c r="BC136" s="1"/>
      <c r="BD136" s="1"/>
      <c r="BE136" s="1"/>
      <c r="BF136" s="1"/>
      <c r="BG136" s="1"/>
      <c r="BH136" s="1"/>
      <c r="BI136" s="1"/>
      <c r="BJ136" s="1"/>
      <c r="BK136" s="1"/>
      <c r="BL136" s="1"/>
      <c r="BM136" s="1"/>
      <c r="BN136" s="1"/>
      <c r="CY136" s="60"/>
      <c r="DH136" s="19"/>
      <c r="DI136" s="19"/>
      <c r="DJ136" s="19"/>
      <c r="DK136" s="19"/>
      <c r="DL136" s="19"/>
      <c r="DM136" s="19"/>
      <c r="DN136" s="19"/>
      <c r="DO136" s="19"/>
      <c r="DP136" s="19"/>
      <c r="DS136" s="17"/>
      <c r="DT136" s="17"/>
      <c r="DU136" s="17"/>
      <c r="DV136" s="17"/>
      <c r="DW136" s="17"/>
      <c r="DX136" s="17"/>
      <c r="DY136" s="17"/>
      <c r="DZ136" s="17"/>
      <c r="EA136" s="17"/>
      <c r="EB136" s="17"/>
    </row>
    <row r="137" spans="1:133" x14ac:dyDescent="0.2">
      <c r="A137" s="8"/>
      <c r="C137" s="194"/>
      <c r="D137" s="243"/>
      <c r="E137" s="194"/>
      <c r="F137" s="194"/>
      <c r="G137" s="194"/>
      <c r="H137" s="194"/>
      <c r="I137" s="194"/>
      <c r="J137" s="194"/>
      <c r="K137" s="243"/>
      <c r="M137" s="299"/>
      <c r="T137" s="341"/>
      <c r="AK137" s="1"/>
      <c r="AL137" s="1"/>
      <c r="AM137" s="1"/>
      <c r="AN137" s="1"/>
      <c r="AO137" s="1"/>
      <c r="AP137" s="1"/>
      <c r="AQ137" s="1"/>
      <c r="AR137" s="1"/>
      <c r="AS137" s="1"/>
      <c r="AT137" s="1"/>
      <c r="AU137" s="1"/>
      <c r="AV137" s="1"/>
      <c r="AW137" s="1"/>
      <c r="AX137" s="1"/>
      <c r="CY137" s="60"/>
      <c r="DH137" s="19"/>
      <c r="DI137" s="19"/>
      <c r="DJ137" s="19"/>
      <c r="DK137" s="19"/>
      <c r="DL137" s="19"/>
      <c r="DM137" s="19"/>
      <c r="DN137" s="19"/>
      <c r="DO137" s="19"/>
      <c r="DP137" s="19"/>
      <c r="DS137" s="17"/>
      <c r="DT137" s="17"/>
      <c r="DU137" s="17"/>
      <c r="DV137" s="17"/>
      <c r="DW137" s="17"/>
      <c r="DX137" s="17"/>
      <c r="DY137" s="17"/>
      <c r="DZ137" s="17"/>
      <c r="EA137" s="17"/>
      <c r="EB137" s="17"/>
    </row>
    <row r="138" spans="1:133" x14ac:dyDescent="0.2">
      <c r="A138" s="8"/>
      <c r="C138" s="193"/>
      <c r="D138" s="243"/>
      <c r="E138" s="193"/>
      <c r="F138" s="193"/>
      <c r="G138" s="193"/>
      <c r="H138" s="193"/>
      <c r="I138" s="193"/>
      <c r="J138" s="193"/>
      <c r="K138" s="243"/>
      <c r="T138" s="342"/>
      <c r="CI138" s="34"/>
      <c r="CJ138" s="34"/>
      <c r="CK138" s="34"/>
      <c r="CL138" s="34"/>
      <c r="CY138" s="60"/>
      <c r="DH138" s="19"/>
      <c r="DI138" s="19"/>
      <c r="DJ138" s="19"/>
      <c r="DK138" s="19"/>
      <c r="DL138" s="19"/>
      <c r="DM138" s="19"/>
      <c r="DN138" s="19"/>
      <c r="DO138" s="19"/>
      <c r="DP138" s="19"/>
      <c r="DS138" s="17"/>
      <c r="DT138" s="17"/>
      <c r="DU138" s="17"/>
      <c r="DV138" s="17"/>
      <c r="DW138" s="17"/>
      <c r="DX138" s="17"/>
      <c r="DY138" s="17"/>
      <c r="DZ138" s="17"/>
      <c r="EA138" s="17"/>
      <c r="EB138" s="17"/>
    </row>
    <row r="139" spans="1:133" x14ac:dyDescent="0.2">
      <c r="A139" s="8"/>
      <c r="C139" s="153"/>
      <c r="D139" s="239"/>
      <c r="E139" s="153"/>
      <c r="F139" s="153"/>
      <c r="G139" s="151"/>
      <c r="H139" s="19"/>
      <c r="I139" s="17"/>
      <c r="J139" s="17"/>
      <c r="K139" s="239"/>
      <c r="T139" s="342"/>
      <c r="CI139" s="34"/>
      <c r="CJ139" s="34"/>
      <c r="CK139" s="34"/>
      <c r="CL139" s="34"/>
      <c r="CN139" s="135"/>
      <c r="CO139" s="135"/>
      <c r="CP139" s="135"/>
      <c r="CQ139" s="135"/>
      <c r="CR139" s="1"/>
      <c r="CS139" s="1"/>
      <c r="CT139" s="2"/>
      <c r="CU139" s="2"/>
      <c r="CY139" s="60"/>
      <c r="CZ139" s="166"/>
      <c r="DA139" s="166"/>
      <c r="DB139" s="166"/>
      <c r="DC139" s="166"/>
      <c r="DD139" s="166"/>
      <c r="DE139" s="166"/>
      <c r="DF139" s="166"/>
      <c r="DG139" s="166"/>
      <c r="DH139" s="19"/>
      <c r="DI139" s="19"/>
      <c r="DJ139" s="19"/>
      <c r="DK139" s="19"/>
      <c r="DL139" s="19"/>
      <c r="DM139" s="19"/>
      <c r="DN139" s="19"/>
      <c r="DO139" s="19"/>
      <c r="DP139" s="19"/>
      <c r="DS139" s="17"/>
      <c r="DT139" s="17"/>
      <c r="DU139" s="17"/>
      <c r="DV139" s="17"/>
      <c r="DW139" s="17"/>
      <c r="DX139" s="17"/>
      <c r="DY139" s="17"/>
      <c r="DZ139" s="17"/>
      <c r="EA139" s="17"/>
      <c r="EB139" s="17"/>
    </row>
    <row r="140" spans="1:133" x14ac:dyDescent="0.2">
      <c r="A140" s="8"/>
      <c r="B140" s="153"/>
      <c r="C140" s="153"/>
      <c r="D140" s="239"/>
      <c r="E140" s="153"/>
      <c r="F140" s="153"/>
      <c r="G140" s="151"/>
      <c r="H140" s="19"/>
      <c r="I140" s="17"/>
      <c r="J140" s="17"/>
      <c r="K140" s="239"/>
      <c r="T140" s="341"/>
      <c r="CI140" s="34"/>
      <c r="CJ140" s="34"/>
      <c r="CK140" s="34"/>
      <c r="CL140" s="34"/>
      <c r="CY140" s="60"/>
      <c r="DH140" s="19"/>
      <c r="DI140" s="19"/>
      <c r="DJ140" s="19"/>
      <c r="DK140" s="19"/>
      <c r="DL140" s="19"/>
      <c r="DM140" s="19"/>
      <c r="DN140" s="19"/>
      <c r="DO140" s="19"/>
      <c r="DP140" s="19"/>
      <c r="DS140" s="17"/>
      <c r="DT140" s="17"/>
      <c r="DU140" s="17"/>
      <c r="DV140" s="17"/>
      <c r="DW140" s="17"/>
      <c r="DX140" s="17"/>
      <c r="DY140" s="17"/>
      <c r="DZ140" s="17"/>
      <c r="EA140" s="17"/>
      <c r="EB140" s="17"/>
    </row>
    <row r="141" spans="1:133" x14ac:dyDescent="0.2">
      <c r="A141" s="8"/>
      <c r="B141" s="153"/>
      <c r="C141" s="153"/>
      <c r="D141" s="239"/>
      <c r="E141" s="153"/>
      <c r="F141" s="153"/>
      <c r="G141" s="151"/>
      <c r="H141" s="19"/>
      <c r="I141" s="17"/>
      <c r="J141" s="17"/>
      <c r="K141" s="239"/>
      <c r="T141" s="341"/>
      <c r="CI141" s="34"/>
      <c r="CJ141" s="34"/>
      <c r="CK141" s="34"/>
      <c r="CL141" s="34"/>
      <c r="CN141" s="135"/>
      <c r="CO141" s="135"/>
      <c r="CP141" s="135"/>
      <c r="CQ141" s="135"/>
      <c r="CR141" s="1"/>
      <c r="CS141" s="1"/>
      <c r="CT141" s="2"/>
      <c r="CU141" s="2"/>
      <c r="CY141" s="60"/>
      <c r="CZ141" s="60"/>
      <c r="DA141" s="60"/>
      <c r="DB141" s="60"/>
      <c r="DC141" s="60"/>
      <c r="DD141" s="33"/>
      <c r="DE141" s="33"/>
      <c r="DF141" s="19"/>
      <c r="DG141" s="19"/>
      <c r="DH141" s="19"/>
      <c r="DI141" s="19"/>
      <c r="DJ141" s="19"/>
      <c r="DK141" s="19"/>
      <c r="DL141" s="19"/>
      <c r="DM141" s="19"/>
      <c r="DN141" s="19"/>
      <c r="DO141" s="19"/>
      <c r="DP141" s="19"/>
      <c r="DS141" s="17"/>
      <c r="DT141" s="17"/>
      <c r="DU141" s="17"/>
      <c r="DV141" s="17"/>
      <c r="DW141" s="17"/>
      <c r="DX141" s="17"/>
      <c r="DY141" s="17"/>
      <c r="DZ141" s="17"/>
      <c r="EA141" s="17"/>
      <c r="EB141" s="17"/>
    </row>
    <row r="142" spans="1:133" x14ac:dyDescent="0.2">
      <c r="A142" s="8"/>
      <c r="B142" s="153"/>
      <c r="C142" s="153"/>
      <c r="D142" s="239"/>
      <c r="E142" s="153"/>
      <c r="F142" s="153"/>
      <c r="G142" s="151"/>
      <c r="H142" s="19"/>
      <c r="I142" s="17"/>
      <c r="J142" s="17"/>
      <c r="K142" s="239"/>
      <c r="T142" s="341"/>
      <c r="AH142" s="92"/>
      <c r="AI142" s="92"/>
      <c r="AJ142" s="92"/>
      <c r="AK142" s="92"/>
      <c r="AL142" s="92"/>
      <c r="AM142" s="92"/>
      <c r="AN142" s="92"/>
      <c r="AO142" s="92"/>
      <c r="AP142" s="92"/>
      <c r="AQ142" s="92"/>
      <c r="AR142" s="92"/>
      <c r="AS142" s="92"/>
      <c r="AT142" s="92"/>
      <c r="AU142" s="92"/>
      <c r="AV142" s="92"/>
      <c r="AW142" s="92"/>
      <c r="AX142" s="92"/>
      <c r="CI142" s="34"/>
      <c r="CJ142" s="34"/>
      <c r="CK142" s="34"/>
      <c r="CL142" s="34"/>
      <c r="CY142" s="60"/>
      <c r="DS142" s="125"/>
      <c r="DT142" s="17"/>
      <c r="DU142" s="17"/>
      <c r="DV142" s="17"/>
      <c r="DW142" s="17"/>
      <c r="DX142" s="17"/>
      <c r="DY142" s="17"/>
      <c r="DZ142" s="17"/>
      <c r="EA142" s="17"/>
      <c r="EB142" s="17"/>
    </row>
    <row r="143" spans="1:133" x14ac:dyDescent="0.2">
      <c r="A143" s="8"/>
      <c r="B143" s="153"/>
      <c r="C143" s="153"/>
      <c r="D143" s="239"/>
      <c r="E143" s="153"/>
      <c r="F143" s="153"/>
      <c r="G143" s="151"/>
      <c r="H143" s="19"/>
      <c r="I143" s="17"/>
      <c r="J143" s="17"/>
      <c r="K143" s="239"/>
      <c r="T143" s="341"/>
      <c r="CI143" s="34"/>
      <c r="CJ143" s="34"/>
      <c r="CK143" s="34"/>
      <c r="CL143" s="34"/>
      <c r="CY143" s="60"/>
      <c r="CZ143" s="158"/>
      <c r="DA143" s="287"/>
      <c r="DB143" s="287"/>
      <c r="DC143" s="287"/>
      <c r="DD143" s="287"/>
      <c r="DE143" s="287"/>
      <c r="DF143" s="287"/>
      <c r="DG143" s="287"/>
      <c r="DH143" s="287"/>
      <c r="DI143" s="287"/>
      <c r="DJ143" s="287"/>
      <c r="DK143" s="287"/>
      <c r="DL143" s="287"/>
      <c r="DM143" s="287"/>
      <c r="DN143" s="287"/>
      <c r="DO143" s="521"/>
      <c r="DP143" s="521"/>
      <c r="DS143" s="125"/>
      <c r="DT143" s="17"/>
      <c r="DU143" s="17"/>
      <c r="DV143" s="17"/>
      <c r="DW143" s="17"/>
      <c r="DX143" s="17"/>
      <c r="DY143" s="17"/>
      <c r="DZ143" s="17"/>
      <c r="EA143" s="17"/>
      <c r="EB143" s="17"/>
    </row>
    <row r="144" spans="1:133" x14ac:dyDescent="0.2">
      <c r="A144" s="8"/>
      <c r="B144" s="153"/>
      <c r="C144" s="153"/>
      <c r="D144" s="239"/>
      <c r="E144" s="153"/>
      <c r="F144" s="153"/>
      <c r="G144" s="151"/>
      <c r="H144" s="19"/>
      <c r="I144" s="17"/>
      <c r="J144" s="17"/>
      <c r="K144" s="239"/>
      <c r="T144" s="341"/>
      <c r="V144" s="1"/>
      <c r="CG144" s="186"/>
      <c r="CH144" s="186"/>
      <c r="CI144" s="34"/>
      <c r="CJ144" s="34"/>
      <c r="CK144" s="34"/>
      <c r="CL144" s="34"/>
      <c r="CM144" s="23"/>
      <c r="CV144" s="186"/>
      <c r="CW144" s="186"/>
      <c r="CX144" s="186"/>
      <c r="CY144" s="60"/>
      <c r="CZ144" s="129"/>
      <c r="DA144" s="129"/>
      <c r="DB144" s="1"/>
      <c r="DC144" s="125"/>
      <c r="DD144" s="125"/>
      <c r="DE144" s="125"/>
      <c r="DF144" s="125"/>
      <c r="DG144" s="125"/>
      <c r="DH144" s="125"/>
      <c r="DI144" s="134"/>
      <c r="DJ144" s="134"/>
      <c r="DK144" s="134"/>
      <c r="DL144" s="134"/>
      <c r="DM144" s="125"/>
      <c r="DN144" s="125"/>
      <c r="DO144" s="125"/>
      <c r="DP144" s="125"/>
      <c r="DS144" s="125"/>
      <c r="DT144" s="17"/>
      <c r="DU144" s="17"/>
      <c r="DV144" s="17"/>
      <c r="DW144" s="17"/>
      <c r="DX144" s="17"/>
      <c r="DY144" s="17"/>
      <c r="DZ144" s="17"/>
      <c r="EA144" s="17"/>
      <c r="EB144" s="17"/>
    </row>
    <row r="145" spans="1:132" x14ac:dyDescent="0.2">
      <c r="A145" s="8"/>
      <c r="B145" s="153"/>
      <c r="C145" s="153"/>
      <c r="D145" s="239"/>
      <c r="E145" s="153"/>
      <c r="F145" s="153"/>
      <c r="G145" s="151"/>
      <c r="H145" s="19"/>
      <c r="I145" s="17"/>
      <c r="J145" s="17"/>
      <c r="K145" s="239"/>
      <c r="V145" s="1"/>
      <c r="CI145" s="34"/>
      <c r="CJ145" s="34"/>
      <c r="CK145" s="34"/>
      <c r="CL145" s="34"/>
      <c r="CY145" s="60"/>
      <c r="CZ145" s="129"/>
      <c r="DA145" s="129"/>
      <c r="DB145" s="1"/>
      <c r="DC145" s="125"/>
      <c r="DD145" s="125"/>
      <c r="DE145" s="125"/>
      <c r="DF145" s="125"/>
      <c r="DG145" s="125"/>
      <c r="DH145" s="125"/>
      <c r="DI145" s="134"/>
      <c r="DJ145" s="134"/>
      <c r="DK145" s="134"/>
      <c r="DL145" s="134"/>
      <c r="DM145" s="125"/>
      <c r="DN145" s="125"/>
      <c r="DO145" s="125"/>
      <c r="DP145" s="125"/>
      <c r="DS145" s="125"/>
      <c r="DT145" s="17"/>
      <c r="DU145" s="17"/>
      <c r="DV145" s="17"/>
      <c r="DW145" s="17"/>
      <c r="DX145" s="17"/>
      <c r="DY145" s="17"/>
      <c r="DZ145" s="17"/>
      <c r="EA145" s="17"/>
      <c r="EB145" s="17"/>
    </row>
    <row r="146" spans="1:132" x14ac:dyDescent="0.2">
      <c r="A146" s="8"/>
      <c r="B146" s="153"/>
      <c r="C146" s="153"/>
      <c r="D146" s="239"/>
      <c r="E146" s="153"/>
      <c r="F146" s="153"/>
      <c r="G146" s="152"/>
      <c r="H146" s="19"/>
      <c r="I146" s="17"/>
      <c r="J146" s="17"/>
      <c r="K146" s="239"/>
      <c r="Q146" s="1"/>
      <c r="R146" s="1"/>
      <c r="S146" s="1"/>
      <c r="T146" s="1"/>
      <c r="U146" s="1"/>
      <c r="V146" s="1"/>
      <c r="W146" s="1"/>
      <c r="X146" s="1"/>
      <c r="CI146" s="34"/>
      <c r="CJ146" s="34"/>
      <c r="CK146" s="34"/>
      <c r="CL146" s="34"/>
      <c r="CY146" s="60"/>
      <c r="CZ146" s="44"/>
      <c r="DA146" s="44"/>
      <c r="DB146" s="44"/>
      <c r="DC146" s="44"/>
      <c r="DD146" s="44"/>
      <c r="DE146" s="44"/>
      <c r="DF146" s="58"/>
      <c r="DG146" s="58"/>
      <c r="DH146" s="44"/>
      <c r="DI146" s="44"/>
      <c r="DJ146" s="44"/>
      <c r="DK146" s="44"/>
      <c r="DL146" s="44"/>
      <c r="DM146" s="44"/>
      <c r="DN146" s="47"/>
      <c r="DO146" s="47"/>
      <c r="DP146" s="47"/>
      <c r="DS146" s="125"/>
      <c r="DT146" s="17"/>
      <c r="DU146" s="17"/>
      <c r="DV146" s="17"/>
      <c r="DW146" s="17"/>
      <c r="DX146" s="17"/>
      <c r="DY146" s="17"/>
      <c r="DZ146" s="17"/>
      <c r="EA146" s="17"/>
      <c r="EB146" s="17"/>
    </row>
    <row r="147" spans="1:132" ht="12.75" x14ac:dyDescent="0.2">
      <c r="A147" s="8"/>
      <c r="B147" s="153"/>
      <c r="C147" s="153"/>
      <c r="D147" s="239"/>
      <c r="E147" s="153"/>
      <c r="F147" s="153"/>
      <c r="G147" s="152"/>
      <c r="H147" s="19"/>
      <c r="I147" s="17"/>
      <c r="J147" s="17"/>
      <c r="K147" s="239"/>
      <c r="N147" s="258"/>
      <c r="O147" s="258"/>
      <c r="Q147" s="25"/>
      <c r="R147" s="25"/>
      <c r="S147" s="25"/>
      <c r="T147" s="25"/>
      <c r="U147" s="1"/>
      <c r="V147" s="1"/>
      <c r="W147" s="1"/>
      <c r="X147" s="1"/>
      <c r="CI147" s="34"/>
      <c r="CJ147" s="34"/>
      <c r="CK147" s="34"/>
      <c r="CL147" s="34"/>
      <c r="CN147" s="288"/>
      <c r="CO147" s="288"/>
      <c r="CP147" s="288"/>
      <c r="CQ147" s="288"/>
      <c r="CR147" s="288"/>
      <c r="CS147" s="288"/>
      <c r="CT147" s="288"/>
      <c r="CU147" s="288"/>
      <c r="CY147" s="60"/>
      <c r="CZ147" s="631"/>
      <c r="DA147" s="631"/>
      <c r="DB147" s="631"/>
      <c r="DC147" s="631"/>
      <c r="DD147" s="631"/>
      <c r="DE147" s="631"/>
      <c r="DF147" s="631"/>
      <c r="DG147" s="631"/>
      <c r="DH147" s="631"/>
      <c r="DI147" s="631"/>
      <c r="DJ147" s="631"/>
      <c r="DK147" s="631"/>
      <c r="DL147" s="631"/>
      <c r="DM147" s="631"/>
      <c r="DN147" s="631"/>
      <c r="DO147" s="631"/>
      <c r="DP147" s="631"/>
      <c r="DQ147" s="631"/>
      <c r="DR147" s="631"/>
      <c r="DS147" s="631"/>
      <c r="DT147" s="17"/>
      <c r="DU147" s="17"/>
      <c r="DV147" s="17"/>
      <c r="DW147" s="17"/>
      <c r="DX147" s="17"/>
      <c r="DY147" s="17"/>
      <c r="DZ147" s="17"/>
      <c r="EA147" s="17"/>
      <c r="EB147" s="17"/>
    </row>
    <row r="148" spans="1:132" ht="12.75" x14ac:dyDescent="0.2">
      <c r="A148" s="8"/>
      <c r="B148" s="153"/>
      <c r="C148" s="153"/>
      <c r="D148" s="239"/>
      <c r="E148" s="153"/>
      <c r="F148" s="153"/>
      <c r="G148" s="151"/>
      <c r="H148" s="19"/>
      <c r="I148" s="17"/>
      <c r="J148" s="17"/>
      <c r="K148" s="239"/>
      <c r="N148" s="258"/>
      <c r="O148" s="258"/>
      <c r="Q148" s="25"/>
      <c r="R148" s="25"/>
      <c r="S148" s="25"/>
      <c r="T148" s="25"/>
      <c r="U148" s="1"/>
      <c r="V148" s="1"/>
      <c r="W148" s="1"/>
      <c r="X148" s="1"/>
      <c r="CG148" s="186"/>
      <c r="CH148" s="186"/>
      <c r="CI148" s="34"/>
      <c r="CJ148" s="34"/>
      <c r="CK148" s="34"/>
      <c r="CL148" s="34"/>
      <c r="CM148" s="186"/>
      <c r="CN148" s="648" t="s">
        <v>568</v>
      </c>
      <c r="CO148" s="648"/>
      <c r="CP148" s="648"/>
      <c r="CQ148" s="648"/>
      <c r="CR148" s="648"/>
      <c r="CS148" s="648"/>
      <c r="CT148" s="648"/>
      <c r="CU148" s="648"/>
      <c r="CV148" s="186"/>
      <c r="CW148" s="186"/>
      <c r="CX148" s="186"/>
      <c r="CY148" s="60"/>
      <c r="CZ148" s="631"/>
      <c r="DA148" s="631"/>
      <c r="DB148" s="631"/>
      <c r="DC148" s="631"/>
      <c r="DD148" s="631"/>
      <c r="DE148" s="631"/>
      <c r="DF148" s="631"/>
      <c r="DG148" s="631"/>
      <c r="DH148" s="631"/>
      <c r="DI148" s="631"/>
      <c r="DJ148" s="631"/>
      <c r="DK148" s="631"/>
      <c r="DL148" s="631"/>
      <c r="DM148" s="631"/>
      <c r="DN148" s="631"/>
      <c r="DO148" s="631"/>
      <c r="DP148" s="631"/>
      <c r="DQ148" s="631"/>
      <c r="DR148" s="631"/>
      <c r="DS148" s="631"/>
      <c r="DT148" s="17"/>
      <c r="DU148" s="17"/>
      <c r="DV148" s="17"/>
      <c r="DW148" s="17"/>
      <c r="DX148" s="17"/>
      <c r="DY148" s="17"/>
      <c r="DZ148" s="17"/>
      <c r="EA148" s="17"/>
      <c r="EB148" s="17"/>
    </row>
    <row r="149" spans="1:132" x14ac:dyDescent="0.2">
      <c r="A149" s="8"/>
      <c r="B149" s="153"/>
      <c r="C149" s="153"/>
      <c r="D149" s="239"/>
      <c r="E149" s="153"/>
      <c r="F149" s="153"/>
      <c r="G149" s="151"/>
      <c r="H149" s="19"/>
      <c r="I149" s="17"/>
      <c r="J149" s="17"/>
      <c r="K149" s="239"/>
      <c r="N149" s="258"/>
      <c r="O149" s="258"/>
      <c r="Q149" s="25"/>
      <c r="R149" s="25"/>
      <c r="S149" s="25"/>
      <c r="T149" s="25"/>
      <c r="U149" s="1"/>
      <c r="V149" s="1"/>
      <c r="W149" s="1"/>
      <c r="X149" s="1"/>
      <c r="CN149" s="648"/>
      <c r="CO149" s="648"/>
      <c r="CP149" s="648"/>
      <c r="CQ149" s="648"/>
      <c r="CR149" s="648"/>
      <c r="CS149" s="648"/>
      <c r="CT149" s="648"/>
      <c r="CU149" s="648"/>
      <c r="CZ149" s="1"/>
      <c r="DA149" s="1"/>
      <c r="DB149" s="1"/>
      <c r="DC149" s="125"/>
      <c r="DD149" s="125"/>
      <c r="DE149" s="125"/>
      <c r="DF149" s="131"/>
      <c r="DG149" s="131"/>
      <c r="DH149" s="125"/>
      <c r="DI149" s="125"/>
      <c r="DJ149" s="125"/>
      <c r="DK149" s="125"/>
      <c r="DL149" s="125"/>
      <c r="DM149" s="125"/>
      <c r="DN149" s="125"/>
      <c r="DO149" s="125"/>
      <c r="DP149" s="125"/>
      <c r="DS149" s="125"/>
      <c r="DT149" s="17"/>
      <c r="DU149" s="17"/>
      <c r="DV149" s="17"/>
      <c r="DW149" s="17"/>
      <c r="DX149" s="17"/>
      <c r="DY149" s="17"/>
      <c r="DZ149" s="17"/>
      <c r="EA149" s="17"/>
      <c r="EB149" s="17"/>
    </row>
    <row r="150" spans="1:132" x14ac:dyDescent="0.2">
      <c r="A150" s="8"/>
      <c r="B150" s="153"/>
      <c r="C150" s="153"/>
      <c r="D150" s="239"/>
      <c r="E150" s="153"/>
      <c r="F150" s="153"/>
      <c r="G150" s="151"/>
      <c r="H150" s="19"/>
      <c r="I150" s="17"/>
      <c r="J150" s="17"/>
      <c r="K150" s="239"/>
      <c r="N150" s="258"/>
      <c r="O150" s="258"/>
      <c r="Q150" s="25"/>
      <c r="R150" s="25"/>
      <c r="S150" s="25"/>
      <c r="T150" s="25"/>
      <c r="U150" s="1"/>
      <c r="V150" s="1"/>
      <c r="W150" s="1"/>
      <c r="X150" s="1"/>
      <c r="CN150" s="648"/>
      <c r="CO150" s="648"/>
      <c r="CP150" s="648"/>
      <c r="CQ150" s="648"/>
      <c r="CR150" s="648"/>
      <c r="CS150" s="648"/>
      <c r="CT150" s="648"/>
      <c r="CU150" s="648"/>
      <c r="DT150" s="17"/>
      <c r="DU150" s="17"/>
      <c r="DV150" s="17"/>
      <c r="DW150" s="17"/>
      <c r="DX150" s="17"/>
      <c r="DY150" s="17"/>
      <c r="DZ150" s="17"/>
      <c r="EA150" s="17"/>
      <c r="EB150" s="17"/>
    </row>
    <row r="151" spans="1:132" x14ac:dyDescent="0.2">
      <c r="A151" s="8"/>
      <c r="B151" s="153"/>
      <c r="C151" s="153"/>
      <c r="D151" s="239"/>
      <c r="E151" s="153"/>
      <c r="F151" s="153"/>
      <c r="G151" s="151"/>
      <c r="H151" s="19"/>
      <c r="I151" s="17"/>
      <c r="J151" s="17"/>
      <c r="K151" s="239"/>
      <c r="N151" s="258"/>
      <c r="O151" s="258"/>
      <c r="Q151" s="25"/>
      <c r="R151" s="25"/>
      <c r="S151" s="25"/>
      <c r="T151" s="25"/>
      <c r="U151" s="1"/>
      <c r="V151" s="1"/>
      <c r="W151" s="1"/>
      <c r="X151" s="1"/>
      <c r="AH151" s="163"/>
      <c r="AI151" s="163"/>
      <c r="AJ151" s="163"/>
      <c r="AK151" s="163"/>
      <c r="AL151" s="163"/>
      <c r="AM151" s="163"/>
      <c r="AN151" s="163"/>
      <c r="AO151" s="163"/>
      <c r="AP151" s="163"/>
      <c r="AQ151" s="163"/>
      <c r="AR151" s="163"/>
      <c r="AS151" s="163"/>
      <c r="AT151" s="163"/>
      <c r="AU151" s="163"/>
      <c r="AV151" s="163"/>
      <c r="AW151" s="163"/>
      <c r="AX151" s="163"/>
      <c r="DT151" s="17"/>
      <c r="DU151" s="17"/>
      <c r="DV151" s="17"/>
      <c r="DW151" s="17"/>
      <c r="DX151" s="17"/>
      <c r="DY151" s="17"/>
      <c r="DZ151" s="17"/>
      <c r="EA151" s="17"/>
      <c r="EB151" s="17"/>
    </row>
    <row r="152" spans="1:132" x14ac:dyDescent="0.2">
      <c r="A152" s="8"/>
      <c r="B152" s="153"/>
      <c r="C152" s="153"/>
      <c r="D152" s="239"/>
      <c r="E152" s="153"/>
      <c r="F152" s="153"/>
      <c r="G152" s="151"/>
      <c r="H152" s="19"/>
      <c r="I152" s="17"/>
      <c r="J152" s="17"/>
      <c r="K152" s="239"/>
      <c r="N152" s="258"/>
      <c r="O152" s="258"/>
      <c r="Q152" s="25"/>
      <c r="R152" s="25"/>
      <c r="S152" s="25"/>
      <c r="T152" s="25"/>
      <c r="U152" s="1"/>
      <c r="V152" s="1"/>
      <c r="W152" s="1"/>
      <c r="X152" s="1"/>
      <c r="Y152" s="49"/>
      <c r="AC152" s="98"/>
      <c r="AD152" s="49"/>
      <c r="AE152" s="49"/>
      <c r="AF152" s="49"/>
      <c r="AG152" s="49"/>
      <c r="CZ152" s="129"/>
      <c r="DA152" s="129"/>
      <c r="DB152" s="1"/>
      <c r="DC152" s="125"/>
      <c r="DD152" s="125"/>
      <c r="DE152" s="125"/>
      <c r="DF152" s="125"/>
      <c r="DG152" s="125"/>
      <c r="DH152" s="125"/>
      <c r="DI152" s="134"/>
      <c r="DJ152" s="134"/>
      <c r="DK152" s="134"/>
      <c r="DL152" s="134"/>
      <c r="DM152" s="125"/>
      <c r="DN152" s="125"/>
      <c r="DO152" s="125"/>
      <c r="DP152" s="125"/>
      <c r="DS152" s="186"/>
      <c r="DT152" s="17"/>
      <c r="DU152" s="17"/>
      <c r="DV152" s="17"/>
      <c r="DW152" s="17"/>
      <c r="DX152" s="17"/>
      <c r="DY152" s="17"/>
      <c r="DZ152" s="17"/>
      <c r="EA152" s="17"/>
      <c r="EB152" s="17"/>
    </row>
    <row r="153" spans="1:132" x14ac:dyDescent="0.2">
      <c r="A153" s="8"/>
      <c r="B153" s="153"/>
      <c r="C153" s="153"/>
      <c r="D153" s="239"/>
      <c r="E153" s="153"/>
      <c r="F153" s="153"/>
      <c r="G153" s="151"/>
      <c r="H153" s="19"/>
      <c r="I153" s="17"/>
      <c r="J153" s="17"/>
      <c r="K153" s="239"/>
      <c r="N153" s="258"/>
      <c r="O153" s="258"/>
      <c r="Q153" s="25"/>
      <c r="R153" s="25"/>
      <c r="S153" s="25"/>
      <c r="T153" s="25"/>
      <c r="U153" s="1"/>
      <c r="V153" s="1"/>
      <c r="W153" s="1"/>
      <c r="X153" s="1"/>
      <c r="Y153" s="49"/>
      <c r="Z153" s="49"/>
      <c r="AA153" s="98"/>
      <c r="AB153" s="98"/>
      <c r="AC153" s="98"/>
      <c r="AD153" s="49"/>
      <c r="AE153" s="49"/>
      <c r="AF153" s="49"/>
      <c r="AG153" s="49"/>
      <c r="DS153" s="125"/>
      <c r="DT153" s="17"/>
      <c r="DU153" s="17"/>
      <c r="DV153" s="17"/>
      <c r="DW153" s="17"/>
      <c r="DX153" s="17"/>
      <c r="DY153" s="17"/>
      <c r="DZ153" s="17"/>
      <c r="EA153" s="17"/>
      <c r="EB153" s="17"/>
    </row>
    <row r="154" spans="1:132" x14ac:dyDescent="0.2">
      <c r="A154" s="8"/>
      <c r="B154" s="153"/>
      <c r="C154" s="153"/>
      <c r="D154" s="239"/>
      <c r="E154" s="153"/>
      <c r="F154" s="153"/>
      <c r="G154" s="151"/>
      <c r="H154" s="19"/>
      <c r="I154" s="17"/>
      <c r="J154" s="17"/>
      <c r="K154" s="239"/>
      <c r="N154" s="258"/>
      <c r="O154" s="258"/>
      <c r="Q154" s="25"/>
      <c r="R154" s="25"/>
      <c r="S154" s="25"/>
      <c r="T154" s="25"/>
      <c r="U154" s="1"/>
      <c r="V154" s="1"/>
      <c r="W154" s="1"/>
      <c r="X154" s="1"/>
      <c r="Y154" s="49"/>
      <c r="Z154" s="49"/>
      <c r="AA154" s="98"/>
      <c r="AB154" s="98"/>
      <c r="AC154" s="98"/>
      <c r="AD154" s="49"/>
      <c r="AE154" s="49"/>
      <c r="AF154" s="49"/>
      <c r="AG154" s="49"/>
      <c r="AZ154" s="1"/>
      <c r="BA154" s="1"/>
      <c r="BC154" s="1"/>
      <c r="BD154" s="1"/>
      <c r="BE154" s="1"/>
      <c r="BF154" s="1"/>
      <c r="BG154" s="1"/>
      <c r="BH154" s="1"/>
      <c r="BI154" s="1"/>
      <c r="BJ154" s="1"/>
      <c r="BK154" s="1"/>
      <c r="BL154" s="1"/>
      <c r="BM154" s="1"/>
      <c r="BN154" s="1"/>
      <c r="CZ154" s="129"/>
      <c r="DA154" s="166"/>
      <c r="DB154" s="166"/>
      <c r="DC154" s="166"/>
      <c r="DD154" s="166"/>
      <c r="DE154" s="166"/>
      <c r="DF154" s="166"/>
      <c r="DG154" s="166"/>
      <c r="DH154" s="166"/>
      <c r="DI154" s="166"/>
      <c r="DJ154" s="166"/>
      <c r="DK154" s="166"/>
      <c r="DL154" s="166"/>
      <c r="DM154" s="166"/>
      <c r="DN154" s="166"/>
      <c r="DO154" s="166"/>
      <c r="DP154" s="166"/>
      <c r="DS154" s="125"/>
      <c r="DT154" s="17"/>
      <c r="DU154" s="17"/>
      <c r="DV154" s="17"/>
      <c r="DW154" s="17"/>
      <c r="DX154" s="17"/>
      <c r="DY154" s="17"/>
      <c r="DZ154" s="17"/>
      <c r="EA154" s="17"/>
      <c r="EB154" s="17"/>
    </row>
    <row r="155" spans="1:132" x14ac:dyDescent="0.2">
      <c r="A155" s="8"/>
      <c r="B155" s="80"/>
      <c r="C155" s="80"/>
      <c r="D155" s="242"/>
      <c r="E155" s="17"/>
      <c r="F155" s="19"/>
      <c r="G155" s="151"/>
      <c r="H155" s="19"/>
      <c r="I155" s="17"/>
      <c r="J155" s="17"/>
      <c r="K155" s="19"/>
      <c r="N155" s="258"/>
      <c r="O155" s="258"/>
      <c r="Q155" s="25"/>
      <c r="R155" s="25"/>
      <c r="S155" s="25"/>
      <c r="T155" s="25"/>
      <c r="U155" s="1"/>
      <c r="V155" s="1"/>
      <c r="W155" s="1"/>
      <c r="X155" s="1"/>
      <c r="Y155" s="49"/>
      <c r="Z155" s="49"/>
      <c r="AA155" s="98"/>
      <c r="AB155" s="98"/>
      <c r="AC155" s="98"/>
      <c r="AD155" s="49"/>
      <c r="AE155" s="49"/>
      <c r="AF155" s="49"/>
      <c r="AG155" s="49"/>
      <c r="AZ155" s="1"/>
      <c r="BA155" s="1"/>
      <c r="BC155" s="1"/>
      <c r="BD155" s="1"/>
      <c r="BE155" s="1"/>
      <c r="BF155" s="1"/>
      <c r="BG155" s="1"/>
      <c r="BH155" s="1"/>
      <c r="BI155" s="1"/>
      <c r="BJ155" s="1"/>
      <c r="BK155" s="1"/>
      <c r="BL155" s="1"/>
      <c r="BM155" s="1"/>
      <c r="BN155" s="1"/>
      <c r="DS155" s="17"/>
      <c r="DT155" s="17"/>
      <c r="DU155" s="17"/>
      <c r="DV155" s="17"/>
      <c r="DW155" s="17"/>
      <c r="DX155" s="17"/>
      <c r="DY155" s="17"/>
      <c r="DZ155" s="17"/>
      <c r="EA155" s="17"/>
      <c r="EB155" s="17"/>
    </row>
    <row r="156" spans="1:132" x14ac:dyDescent="0.2">
      <c r="A156" s="8"/>
      <c r="B156" s="80"/>
      <c r="C156" s="80"/>
      <c r="D156" s="242"/>
      <c r="E156" s="17"/>
      <c r="F156" s="19"/>
      <c r="G156" s="151"/>
      <c r="H156" s="19"/>
      <c r="I156" s="17"/>
      <c r="J156" s="17"/>
      <c r="K156" s="19"/>
      <c r="N156" s="258"/>
      <c r="O156" s="258"/>
      <c r="Q156" s="25"/>
      <c r="R156" s="25"/>
      <c r="S156" s="25"/>
      <c r="T156" s="25"/>
      <c r="U156" s="1"/>
      <c r="V156" s="1"/>
      <c r="W156" s="1"/>
      <c r="X156" s="1"/>
      <c r="Y156" s="49"/>
      <c r="Z156" s="49"/>
      <c r="AA156" s="98"/>
      <c r="AB156" s="98"/>
      <c r="AC156" s="98"/>
      <c r="AD156" s="49"/>
      <c r="AE156" s="49"/>
      <c r="AF156" s="49"/>
      <c r="AG156" s="49"/>
      <c r="AZ156" s="1"/>
      <c r="BA156" s="1"/>
      <c r="BC156" s="1"/>
      <c r="BD156" s="1"/>
      <c r="BE156" s="1"/>
      <c r="BF156" s="1"/>
      <c r="BG156" s="1"/>
      <c r="BH156" s="1"/>
      <c r="BI156" s="1"/>
      <c r="BJ156" s="1"/>
      <c r="BK156" s="1"/>
      <c r="BL156" s="1"/>
      <c r="BM156" s="1"/>
      <c r="BN156" s="1"/>
      <c r="DS156" s="17"/>
      <c r="DT156" s="17"/>
      <c r="DU156" s="17"/>
      <c r="DV156" s="17"/>
      <c r="DW156" s="17"/>
      <c r="DX156" s="17"/>
      <c r="DY156" s="17"/>
      <c r="DZ156" s="17"/>
      <c r="EA156" s="17"/>
      <c r="EB156" s="17"/>
    </row>
    <row r="157" spans="1:132" x14ac:dyDescent="0.2">
      <c r="N157" s="258"/>
      <c r="O157" s="258"/>
      <c r="Q157" s="25"/>
      <c r="R157" s="25"/>
      <c r="S157" s="25"/>
      <c r="T157" s="25"/>
      <c r="U157" s="1"/>
      <c r="V157" s="1"/>
      <c r="W157" s="1"/>
      <c r="X157" s="1"/>
      <c r="AZ157" s="1"/>
      <c r="BA157" s="1"/>
      <c r="BC157" s="1"/>
      <c r="BD157" s="1"/>
      <c r="BE157" s="1"/>
      <c r="BF157" s="1"/>
      <c r="BG157" s="1"/>
      <c r="BH157" s="1"/>
      <c r="BI157" s="1"/>
      <c r="BJ157" s="1"/>
      <c r="BK157" s="1"/>
      <c r="BL157" s="1"/>
      <c r="BM157" s="1"/>
      <c r="BN157" s="1"/>
    </row>
    <row r="158" spans="1:132" x14ac:dyDescent="0.2">
      <c r="N158" s="258"/>
      <c r="O158" s="258"/>
      <c r="Q158" s="25"/>
      <c r="R158" s="25"/>
      <c r="S158" s="25"/>
      <c r="T158" s="25"/>
      <c r="U158" s="1"/>
      <c r="V158" s="1"/>
      <c r="W158" s="1"/>
      <c r="X158" s="1"/>
      <c r="AZ158" s="1"/>
      <c r="BA158" s="1"/>
      <c r="BC158" s="1"/>
      <c r="BD158" s="1"/>
      <c r="BE158" s="1"/>
      <c r="BF158" s="1"/>
      <c r="BG158" s="1"/>
      <c r="BH158" s="1"/>
      <c r="BI158" s="1"/>
      <c r="BJ158" s="1"/>
      <c r="BK158" s="1"/>
      <c r="BL158" s="1"/>
      <c r="BM158" s="1"/>
      <c r="BN158" s="1"/>
    </row>
    <row r="159" spans="1:132" x14ac:dyDescent="0.2">
      <c r="Q159" s="1"/>
      <c r="R159" s="1"/>
      <c r="S159" s="1"/>
      <c r="T159" s="1"/>
      <c r="U159" s="1"/>
      <c r="V159" s="1"/>
      <c r="W159" s="1"/>
      <c r="X159" s="1"/>
      <c r="AZ159" s="1"/>
      <c r="BA159" s="1"/>
      <c r="BC159" s="1"/>
      <c r="BD159" s="1"/>
      <c r="BE159" s="1"/>
      <c r="BF159" s="1"/>
      <c r="BG159" s="1"/>
      <c r="BH159" s="1"/>
      <c r="BI159" s="1"/>
      <c r="BJ159" s="1"/>
      <c r="BK159" s="1"/>
      <c r="BL159" s="1"/>
      <c r="BM159" s="1"/>
      <c r="BN159" s="1"/>
    </row>
    <row r="160" spans="1:132" x14ac:dyDescent="0.2">
      <c r="Q160" s="1"/>
      <c r="R160" s="1"/>
      <c r="S160" s="1"/>
      <c r="T160" s="1"/>
      <c r="U160" s="1"/>
      <c r="V160" s="1"/>
      <c r="W160" s="1"/>
      <c r="X160" s="1"/>
      <c r="AX160" s="140"/>
      <c r="AZ160" s="1"/>
      <c r="BA160" s="1"/>
      <c r="BC160" s="1"/>
      <c r="BD160" s="1"/>
      <c r="BE160" s="1"/>
      <c r="BF160" s="1"/>
      <c r="BG160" s="1"/>
      <c r="BH160" s="1"/>
      <c r="BI160" s="1"/>
      <c r="BJ160" s="1"/>
      <c r="BK160" s="1"/>
      <c r="BL160" s="1"/>
      <c r="BM160" s="1"/>
      <c r="BN160" s="1"/>
      <c r="BQ160" s="1"/>
      <c r="BR160" s="1"/>
    </row>
    <row r="161" spans="5:140" x14ac:dyDescent="0.2">
      <c r="Q161" s="1"/>
      <c r="R161" s="1"/>
      <c r="S161" s="1"/>
      <c r="T161" s="1"/>
      <c r="U161" s="1"/>
      <c r="V161" s="1"/>
      <c r="W161" s="1"/>
      <c r="X161" s="1"/>
      <c r="AX161" s="140"/>
      <c r="AZ161" s="1"/>
      <c r="BA161" s="1"/>
      <c r="BC161" s="1"/>
      <c r="BD161" s="1"/>
      <c r="BE161" s="1"/>
      <c r="BF161" s="1"/>
      <c r="BG161" s="1"/>
      <c r="BH161" s="1"/>
      <c r="BI161" s="1"/>
      <c r="BJ161" s="1"/>
      <c r="BK161" s="1"/>
      <c r="BL161" s="1"/>
      <c r="BM161" s="1"/>
      <c r="BN161" s="1"/>
      <c r="BQ161" s="1"/>
      <c r="BR161" s="1"/>
    </row>
    <row r="162" spans="5:140" x14ac:dyDescent="0.2">
      <c r="Q162" s="1"/>
      <c r="R162" s="1"/>
      <c r="S162" s="1"/>
      <c r="T162" s="1"/>
      <c r="U162" s="1"/>
      <c r="V162" s="1"/>
      <c r="W162" s="1"/>
      <c r="X162" s="1"/>
      <c r="AZ162" s="1"/>
      <c r="BA162" s="1"/>
      <c r="BC162" s="1"/>
      <c r="BD162" s="1"/>
      <c r="BE162" s="1"/>
      <c r="BF162" s="1"/>
      <c r="BG162" s="1"/>
      <c r="BH162" s="1"/>
      <c r="BI162" s="1"/>
      <c r="BJ162" s="1"/>
      <c r="BK162" s="1"/>
      <c r="BL162" s="1"/>
      <c r="BM162" s="1"/>
      <c r="BN162" s="1"/>
      <c r="BQ162" s="1"/>
      <c r="BR162" s="1"/>
    </row>
    <row r="163" spans="5:140" x14ac:dyDescent="0.2">
      <c r="Q163" s="1"/>
      <c r="R163" s="1"/>
      <c r="S163" s="1"/>
      <c r="T163" s="1"/>
      <c r="U163" s="1"/>
      <c r="V163" s="1"/>
      <c r="W163" s="1"/>
      <c r="X163" s="1"/>
      <c r="AZ163" s="1"/>
      <c r="BA163" s="1"/>
      <c r="BC163" s="1"/>
      <c r="BD163" s="1"/>
      <c r="BE163" s="1"/>
      <c r="BF163" s="1"/>
      <c r="BG163" s="1"/>
      <c r="BH163" s="1"/>
      <c r="BI163" s="1"/>
      <c r="BJ163" s="1"/>
      <c r="BK163" s="1"/>
      <c r="BL163" s="1"/>
      <c r="BM163" s="1"/>
      <c r="BN163" s="1"/>
      <c r="BQ163" s="1"/>
      <c r="BR163" s="1"/>
    </row>
    <row r="164" spans="5:140" x14ac:dyDescent="0.2">
      <c r="Q164" s="1"/>
      <c r="R164" s="1"/>
      <c r="S164" s="1"/>
      <c r="T164" s="1"/>
      <c r="U164" s="1"/>
      <c r="V164" s="1"/>
      <c r="W164" s="1"/>
      <c r="X164" s="1"/>
      <c r="AZ164" s="1"/>
      <c r="BA164" s="1"/>
      <c r="BC164" s="1"/>
      <c r="BD164" s="1"/>
      <c r="BE164" s="1"/>
      <c r="BF164" s="1"/>
      <c r="BG164" s="1"/>
      <c r="BH164" s="1"/>
      <c r="BI164" s="1"/>
      <c r="BJ164" s="1"/>
      <c r="BK164" s="1"/>
      <c r="BL164" s="1"/>
      <c r="BM164" s="1"/>
      <c r="BN164" s="1"/>
      <c r="BQ164" s="1"/>
      <c r="BR164" s="1"/>
    </row>
    <row r="165" spans="5:140" x14ac:dyDescent="0.2">
      <c r="Q165" s="1"/>
      <c r="R165" s="1"/>
      <c r="S165" s="1"/>
      <c r="T165" s="1"/>
      <c r="U165" s="1"/>
      <c r="V165" s="1"/>
      <c r="W165" s="1"/>
      <c r="X165" s="1"/>
    </row>
    <row r="166" spans="5:140" x14ac:dyDescent="0.2">
      <c r="Q166" s="1"/>
      <c r="R166" s="1"/>
      <c r="S166" s="1"/>
      <c r="T166" s="1"/>
      <c r="U166" s="1"/>
      <c r="V166" s="1"/>
      <c r="W166" s="1"/>
      <c r="X166" s="1"/>
    </row>
    <row r="167" spans="5:140" x14ac:dyDescent="0.2">
      <c r="Q167" s="1"/>
      <c r="R167" s="1"/>
      <c r="S167" s="1"/>
      <c r="T167" s="1"/>
      <c r="U167" s="1"/>
      <c r="V167" s="1"/>
      <c r="W167" s="1"/>
      <c r="X167" s="1"/>
    </row>
    <row r="168" spans="5:140" x14ac:dyDescent="0.2">
      <c r="Q168" s="1"/>
      <c r="R168" s="1"/>
      <c r="S168" s="1"/>
      <c r="T168" s="1"/>
      <c r="U168" s="1"/>
      <c r="V168" s="1"/>
      <c r="W168" s="1"/>
      <c r="X168" s="1"/>
    </row>
    <row r="169" spans="5:140" x14ac:dyDescent="0.2">
      <c r="Q169" s="1"/>
      <c r="R169" s="1"/>
      <c r="S169" s="1"/>
      <c r="T169" s="1"/>
      <c r="U169" s="1"/>
      <c r="V169" s="1"/>
      <c r="W169" s="1"/>
      <c r="X169" s="1"/>
    </row>
    <row r="170" spans="5:140" ht="12.75" customHeight="1" x14ac:dyDescent="0.2">
      <c r="E170" s="25"/>
      <c r="F170" s="25"/>
      <c r="G170" s="25"/>
      <c r="H170" s="25"/>
      <c r="I170" s="25"/>
      <c r="J170" s="25"/>
      <c r="K170" s="258"/>
      <c r="L170" s="25"/>
      <c r="M170" s="258"/>
      <c r="N170" s="258"/>
      <c r="O170" s="258"/>
      <c r="P170" s="25"/>
      <c r="Q170" s="1"/>
      <c r="R170" s="1"/>
      <c r="S170" s="1"/>
      <c r="T170" s="1"/>
      <c r="U170" s="1"/>
      <c r="V170" s="1"/>
      <c r="W170" s="1"/>
      <c r="X170" s="1"/>
      <c r="Y170" s="25"/>
      <c r="Z170" s="25"/>
      <c r="AA170" s="25"/>
      <c r="AB170" s="25"/>
      <c r="AC170" s="25"/>
      <c r="AD170" s="25"/>
      <c r="AE170" s="25"/>
      <c r="AF170" s="25"/>
      <c r="AG170" s="25"/>
      <c r="AY170" s="25"/>
      <c r="AZ170" s="25"/>
      <c r="BA170" s="25"/>
      <c r="BB170" s="25"/>
      <c r="BC170" s="25"/>
      <c r="BD170" s="25"/>
      <c r="BE170" s="25"/>
      <c r="BF170" s="25"/>
      <c r="BG170" s="25"/>
      <c r="BH170" s="25"/>
      <c r="BI170" s="25"/>
      <c r="BJ170" s="25"/>
      <c r="BK170" s="25"/>
      <c r="BL170" s="25"/>
      <c r="BM170" s="25"/>
      <c r="BN170" s="25"/>
      <c r="BO170" s="25"/>
      <c r="BP170" s="25"/>
      <c r="BQ170" s="25"/>
      <c r="BR170" s="25"/>
      <c r="BS170" s="25"/>
      <c r="BT170" s="25"/>
      <c r="BU170" s="25"/>
      <c r="BV170" s="25"/>
      <c r="BW170" s="25"/>
      <c r="BX170" s="25"/>
      <c r="BY170" s="25"/>
      <c r="BZ170" s="25"/>
      <c r="CA170" s="25"/>
      <c r="CB170" s="25"/>
      <c r="CC170" s="25"/>
      <c r="CD170" s="25"/>
      <c r="CE170" s="25"/>
      <c r="CF170" s="25"/>
      <c r="CG170" s="25"/>
      <c r="CH170" s="25"/>
      <c r="CI170" s="25"/>
      <c r="CJ170" s="25"/>
      <c r="CK170" s="25"/>
      <c r="CL170" s="25"/>
      <c r="CM170" s="25"/>
      <c r="CN170" s="25"/>
      <c r="CO170" s="25"/>
      <c r="CP170" s="25"/>
      <c r="CQ170" s="25"/>
      <c r="CR170" s="25"/>
      <c r="CS170" s="25"/>
      <c r="CT170" s="25"/>
      <c r="CU170" s="25"/>
      <c r="CV170" s="25"/>
      <c r="CW170" s="25"/>
      <c r="CX170" s="25"/>
      <c r="CY170" s="25"/>
      <c r="CZ170" s="25"/>
      <c r="DA170" s="25"/>
      <c r="DB170" s="25"/>
      <c r="DC170" s="25"/>
      <c r="DD170" s="25"/>
      <c r="DE170" s="25"/>
      <c r="DF170" s="25"/>
      <c r="DG170" s="25"/>
      <c r="DH170" s="25"/>
      <c r="DI170" s="25"/>
      <c r="DJ170" s="25"/>
      <c r="DK170" s="25"/>
      <c r="DL170" s="25"/>
      <c r="DM170" s="25"/>
      <c r="DN170" s="25"/>
      <c r="DO170" s="25"/>
      <c r="DP170" s="25"/>
      <c r="DS170" s="25"/>
      <c r="DT170" s="25"/>
      <c r="DU170" s="25"/>
      <c r="DV170" s="25"/>
      <c r="DW170" s="25"/>
      <c r="DX170" s="25"/>
      <c r="DY170" s="25"/>
      <c r="DZ170" s="25"/>
      <c r="EA170" s="25"/>
      <c r="EB170" s="25"/>
      <c r="EC170" s="25"/>
      <c r="ED170" s="25"/>
      <c r="EE170" s="25"/>
      <c r="EF170" s="25"/>
      <c r="EG170" s="25"/>
      <c r="EH170" s="25"/>
      <c r="EI170" s="25"/>
      <c r="EJ170" s="25"/>
    </row>
    <row r="190" spans="1:1" x14ac:dyDescent="0.2">
      <c r="A190" s="32" t="s">
        <v>487</v>
      </c>
    </row>
  </sheetData>
  <mergeCells count="311">
    <mergeCell ref="BF5:BH5"/>
    <mergeCell ref="W4:W6"/>
    <mergeCell ref="BE1:BE3"/>
    <mergeCell ref="BH1:BH3"/>
    <mergeCell ref="BI1:BI3"/>
    <mergeCell ref="BA103:BO106"/>
    <mergeCell ref="AH80:AH81"/>
    <mergeCell ref="AB80:AB81"/>
    <mergeCell ref="BR1:BR3"/>
    <mergeCell ref="CR1:CR3"/>
    <mergeCell ref="L1:L3"/>
    <mergeCell ref="AC1:AC3"/>
    <mergeCell ref="BL1:BL3"/>
    <mergeCell ref="BV4:BV6"/>
    <mergeCell ref="BC5:BE5"/>
    <mergeCell ref="BL5:BL6"/>
    <mergeCell ref="CM5:CO5"/>
    <mergeCell ref="CP5:CR5"/>
    <mergeCell ref="AL2:AM2"/>
    <mergeCell ref="Y4:AG4"/>
    <mergeCell ref="BM4:BP4"/>
    <mergeCell ref="CC5:CE5"/>
    <mergeCell ref="S5:T5"/>
    <mergeCell ref="AH5:AJ5"/>
    <mergeCell ref="AF5:AG5"/>
    <mergeCell ref="X4:X6"/>
    <mergeCell ref="W120:X121"/>
    <mergeCell ref="BQ4:BT4"/>
    <mergeCell ref="BQ5:BQ6"/>
    <mergeCell ref="BR5:BR6"/>
    <mergeCell ref="BS5:BS6"/>
    <mergeCell ref="BT5:BT6"/>
    <mergeCell ref="BQ119:CE120"/>
    <mergeCell ref="Z116:AB119"/>
    <mergeCell ref="Y5:Z5"/>
    <mergeCell ref="BA120:BO122"/>
    <mergeCell ref="W69:W71"/>
    <mergeCell ref="X69:X71"/>
    <mergeCell ref="AZ5:BB5"/>
    <mergeCell ref="BA118:BO118"/>
    <mergeCell ref="BI4:BL4"/>
    <mergeCell ref="BW5:BY5"/>
    <mergeCell ref="BK5:BK6"/>
    <mergeCell ref="AS5:AU5"/>
    <mergeCell ref="AE80:AE81"/>
    <mergeCell ref="AF80:AF81"/>
    <mergeCell ref="AG80:AG81"/>
    <mergeCell ref="AA5:AB5"/>
    <mergeCell ref="AD5:AE5"/>
    <mergeCell ref="BI5:BI6"/>
    <mergeCell ref="CS80:CS81"/>
    <mergeCell ref="BO80:BO81"/>
    <mergeCell ref="BP80:BP81"/>
    <mergeCell ref="CQ80:CQ81"/>
    <mergeCell ref="AO80:AO81"/>
    <mergeCell ref="AP80:AP81"/>
    <mergeCell ref="AQ80:AQ81"/>
    <mergeCell ref="BU80:BU81"/>
    <mergeCell ref="BV80:BV81"/>
    <mergeCell ref="BW80:BW81"/>
    <mergeCell ref="BY80:BY81"/>
    <mergeCell ref="BZ80:BZ81"/>
    <mergeCell ref="CA80:CA81"/>
    <mergeCell ref="BH80:BH81"/>
    <mergeCell ref="BI80:BI81"/>
    <mergeCell ref="BJ80:BJ81"/>
    <mergeCell ref="AS80:AS81"/>
    <mergeCell ref="BK80:BK81"/>
    <mergeCell ref="DS80:DS81"/>
    <mergeCell ref="DN80:DN81"/>
    <mergeCell ref="DM80:DM81"/>
    <mergeCell ref="DL80:DL81"/>
    <mergeCell ref="DJ80:DJ81"/>
    <mergeCell ref="DI80:DI81"/>
    <mergeCell ref="DH80:DH81"/>
    <mergeCell ref="DG80:DG81"/>
    <mergeCell ref="DK80:DK81"/>
    <mergeCell ref="DF80:DF81"/>
    <mergeCell ref="DA80:DA81"/>
    <mergeCell ref="CZ80:CZ81"/>
    <mergeCell ref="CY80:CY81"/>
    <mergeCell ref="CH80:CH81"/>
    <mergeCell ref="CF80:CF81"/>
    <mergeCell ref="AT80:AT81"/>
    <mergeCell ref="AU80:AU81"/>
    <mergeCell ref="AV80:AV81"/>
    <mergeCell ref="BE80:BE81"/>
    <mergeCell ref="BF80:BF81"/>
    <mergeCell ref="BG80:BG81"/>
    <mergeCell ref="BC80:BC81"/>
    <mergeCell ref="BB80:BB81"/>
    <mergeCell ref="DD80:DD81"/>
    <mergeCell ref="DE80:DE81"/>
    <mergeCell ref="CB80:CB81"/>
    <mergeCell ref="CE80:CE81"/>
    <mergeCell ref="CR80:CR81"/>
    <mergeCell ref="CT80:CT81"/>
    <mergeCell ref="CU80:CU81"/>
    <mergeCell ref="BL80:BL81"/>
    <mergeCell ref="BM80:BM81"/>
    <mergeCell ref="BN80:BN81"/>
    <mergeCell ref="Q119:R119"/>
    <mergeCell ref="W109:X109"/>
    <mergeCell ref="AO5:AO6"/>
    <mergeCell ref="BQ103:CE105"/>
    <mergeCell ref="T122:U122"/>
    <mergeCell ref="T112:U112"/>
    <mergeCell ref="AE101:AG101"/>
    <mergeCell ref="AK5:AN5"/>
    <mergeCell ref="AV5:AY5"/>
    <mergeCell ref="BZ5:CB5"/>
    <mergeCell ref="BM5:BM6"/>
    <mergeCell ref="BN5:BN6"/>
    <mergeCell ref="BO5:BO6"/>
    <mergeCell ref="BP5:BP6"/>
    <mergeCell ref="BJ5:BJ6"/>
    <mergeCell ref="Q102:X102"/>
    <mergeCell ref="Z101:AB101"/>
    <mergeCell ref="Z102:AB105"/>
    <mergeCell ref="AE102:AG105"/>
    <mergeCell ref="Z115:AB115"/>
    <mergeCell ref="Q122:R122"/>
    <mergeCell ref="Q116:R116"/>
    <mergeCell ref="T116:U116"/>
    <mergeCell ref="U5:V5"/>
    <mergeCell ref="A24:A34"/>
    <mergeCell ref="B69:B71"/>
    <mergeCell ref="A62:A71"/>
    <mergeCell ref="A56:A61"/>
    <mergeCell ref="A53:A55"/>
    <mergeCell ref="H4:H6"/>
    <mergeCell ref="A90:A99"/>
    <mergeCell ref="E69:E71"/>
    <mergeCell ref="A4:A6"/>
    <mergeCell ref="F4:F6"/>
    <mergeCell ref="A7:A23"/>
    <mergeCell ref="A72:A81"/>
    <mergeCell ref="G69:G71"/>
    <mergeCell ref="A88:A89"/>
    <mergeCell ref="H69:H71"/>
    <mergeCell ref="C69:C71"/>
    <mergeCell ref="B82:B85"/>
    <mergeCell ref="B96:B97"/>
    <mergeCell ref="F69:F71"/>
    <mergeCell ref="C4:C6"/>
    <mergeCell ref="C62:C67"/>
    <mergeCell ref="K4:K6"/>
    <mergeCell ref="I69:I71"/>
    <mergeCell ref="G4:G6"/>
    <mergeCell ref="J69:J71"/>
    <mergeCell ref="A82:A87"/>
    <mergeCell ref="A101:C128"/>
    <mergeCell ref="A35:A39"/>
    <mergeCell ref="M80:M81"/>
    <mergeCell ref="B80:B81"/>
    <mergeCell ref="C80:C81"/>
    <mergeCell ref="J80:J81"/>
    <mergeCell ref="K80:K81"/>
    <mergeCell ref="D80:D81"/>
    <mergeCell ref="E80:E81"/>
    <mergeCell ref="F80:F81"/>
    <mergeCell ref="G80:G81"/>
    <mergeCell ref="H80:H81"/>
    <mergeCell ref="I80:I81"/>
    <mergeCell ref="L80:L81"/>
    <mergeCell ref="G101:J128"/>
    <mergeCell ref="I4:I6"/>
    <mergeCell ref="A40:A44"/>
    <mergeCell ref="A45:A52"/>
    <mergeCell ref="E62:E67"/>
    <mergeCell ref="I62:I67"/>
    <mergeCell ref="B4:B6"/>
    <mergeCell ref="E4:E6"/>
    <mergeCell ref="H62:H67"/>
    <mergeCell ref="J62:J67"/>
    <mergeCell ref="J4:J6"/>
    <mergeCell ref="F62:F67"/>
    <mergeCell ref="G62:G67"/>
    <mergeCell ref="W117:X117"/>
    <mergeCell ref="N81:N83"/>
    <mergeCell ref="O80:O81"/>
    <mergeCell ref="W112:X112"/>
    <mergeCell ref="W114:X114"/>
    <mergeCell ref="T105:U106"/>
    <mergeCell ref="Q105:R106"/>
    <mergeCell ref="L4:L6"/>
    <mergeCell ref="Q4:R5"/>
    <mergeCell ref="M4:O4"/>
    <mergeCell ref="P4:P6"/>
    <mergeCell ref="S4:V4"/>
    <mergeCell ref="R80:R81"/>
    <mergeCell ref="S80:S81"/>
    <mergeCell ref="T80:T81"/>
    <mergeCell ref="U80:U81"/>
    <mergeCell ref="DS69:DS71"/>
    <mergeCell ref="BU4:BU6"/>
    <mergeCell ref="CI4:CJ5"/>
    <mergeCell ref="CK4:CL5"/>
    <mergeCell ref="DR4:DR6"/>
    <mergeCell ref="DS4:DT4"/>
    <mergeCell ref="DS5:DS6"/>
    <mergeCell ref="DT5:DT6"/>
    <mergeCell ref="CY4:CY5"/>
    <mergeCell ref="DC4:DC6"/>
    <mergeCell ref="DD4:DD6"/>
    <mergeCell ref="DE4:DE6"/>
    <mergeCell ref="DD69:DD71"/>
    <mergeCell ref="DE69:DE71"/>
    <mergeCell ref="DB4:DB6"/>
    <mergeCell ref="DM5:DM6"/>
    <mergeCell ref="DF4:DI4"/>
    <mergeCell ref="DP4:DP5"/>
    <mergeCell ref="DO4:DO5"/>
    <mergeCell ref="DJ4:DN4"/>
    <mergeCell ref="DJ5:DJ6"/>
    <mergeCell ref="DK5:DK6"/>
    <mergeCell ref="DL5:DL6"/>
    <mergeCell ref="DN5:DN6"/>
    <mergeCell ref="P80:P81"/>
    <mergeCell ref="Q80:Q81"/>
    <mergeCell ref="Q112:R112"/>
    <mergeCell ref="Q101:X101"/>
    <mergeCell ref="Q115:U115"/>
    <mergeCell ref="T109:U109"/>
    <mergeCell ref="AI80:AI81"/>
    <mergeCell ref="AK80:AK81"/>
    <mergeCell ref="AL80:AL81"/>
    <mergeCell ref="W105:X106"/>
    <mergeCell ref="X80:X81"/>
    <mergeCell ref="AJ80:AJ81"/>
    <mergeCell ref="Q109:R109"/>
    <mergeCell ref="AE114:AF114"/>
    <mergeCell ref="AI105:AY105"/>
    <mergeCell ref="AI103:AY103"/>
    <mergeCell ref="V80:V81"/>
    <mergeCell ref="W80:W81"/>
    <mergeCell ref="AN80:AN81"/>
    <mergeCell ref="AM80:AM81"/>
    <mergeCell ref="Y80:Y81"/>
    <mergeCell ref="Z80:Z81"/>
    <mergeCell ref="AD80:AD81"/>
    <mergeCell ref="CV5:CX5"/>
    <mergeCell ref="DA4:DA6"/>
    <mergeCell ref="CM4:CX4"/>
    <mergeCell ref="DC69:DC71"/>
    <mergeCell ref="DA62:DA67"/>
    <mergeCell ref="DC62:DC67"/>
    <mergeCell ref="DB62:DB67"/>
    <mergeCell ref="CZ147:DS148"/>
    <mergeCell ref="BA110:BO114"/>
    <mergeCell ref="CZ69:CZ71"/>
    <mergeCell ref="CY69:CY71"/>
    <mergeCell ref="CY62:CY67"/>
    <mergeCell ref="CZ62:CZ67"/>
    <mergeCell ref="DA69:DA71"/>
    <mergeCell ref="DB69:DB71"/>
    <mergeCell ref="CN148:CU150"/>
    <mergeCell ref="BQ126:CE128"/>
    <mergeCell ref="BD80:BD81"/>
    <mergeCell ref="DB80:DB81"/>
    <mergeCell ref="CP80:CP81"/>
    <mergeCell ref="CV80:CV81"/>
    <mergeCell ref="CW80:CW81"/>
    <mergeCell ref="CX80:CX81"/>
    <mergeCell ref="DC80:DC81"/>
    <mergeCell ref="AI126:AY128"/>
    <mergeCell ref="BA124:BO126"/>
    <mergeCell ref="AI107:AY108"/>
    <mergeCell ref="AI110:AY110"/>
    <mergeCell ref="AI112:AY112"/>
    <mergeCell ref="AI114:AY114"/>
    <mergeCell ref="AI119:AY120"/>
    <mergeCell ref="AI124:AY124"/>
    <mergeCell ref="BA116:BO116"/>
    <mergeCell ref="AI116:AY117"/>
    <mergeCell ref="AI122:AY123"/>
    <mergeCell ref="BA108:BO108"/>
    <mergeCell ref="CG120:CU122"/>
    <mergeCell ref="BQ122:CE124"/>
    <mergeCell ref="BQ111:CE113"/>
    <mergeCell ref="BQ115:CE117"/>
    <mergeCell ref="CG112:CU112"/>
    <mergeCell ref="CG103:CU103"/>
    <mergeCell ref="CG105:CU107"/>
    <mergeCell ref="CG109:CU110"/>
    <mergeCell ref="CG124:CU128"/>
    <mergeCell ref="BQ106:CE109"/>
    <mergeCell ref="DQ4:DQ6"/>
    <mergeCell ref="AA80:AA81"/>
    <mergeCell ref="AR80:AR81"/>
    <mergeCell ref="AW80:AW81"/>
    <mergeCell ref="AX80:AX81"/>
    <mergeCell ref="AY80:AY81"/>
    <mergeCell ref="AZ80:AZ81"/>
    <mergeCell ref="BA80:BA81"/>
    <mergeCell ref="CG114:CU118"/>
    <mergeCell ref="CC80:CC81"/>
    <mergeCell ref="CD80:CD81"/>
    <mergeCell ref="CG80:CG81"/>
    <mergeCell ref="BX80:BX81"/>
    <mergeCell ref="CM80:CM81"/>
    <mergeCell ref="CN80:CN81"/>
    <mergeCell ref="CO80:CO81"/>
    <mergeCell ref="DF5:DF6"/>
    <mergeCell ref="DI5:DI6"/>
    <mergeCell ref="DH5:DH6"/>
    <mergeCell ref="DG5:DG6"/>
    <mergeCell ref="CZ4:CZ6"/>
    <mergeCell ref="CF5:CH5"/>
    <mergeCell ref="BW4:CH4"/>
    <mergeCell ref="CS5:CU5"/>
  </mergeCells>
  <dataValidations count="8">
    <dataValidation type="list" allowBlank="1" showInputMessage="1" showErrorMessage="1" sqref="X72:X74 X77:X80 X38:X69 X90:X99 X7:X11 X24:X27" xr:uid="{00000000-0002-0000-0000-000000000000}">
      <formula1>$Q$131:$Q$135</formula1>
    </dataValidation>
    <dataValidation type="list" allowBlank="1" showInputMessage="1" showErrorMessage="1" sqref="DF77:DI80 CZ32:CZ61 DA32:DA62 DF24:DI74 CZ24:DA31 DC7:DC11 DB72:DC74 CZ80:DC80 CZ90:CZ99 DB90:DC99 DB77:DC79 DC46:DC62 DA69 DC68:DC69 CZ68:DB68 CZ73:CZ74 DB43 DA90:DA98 DF90:DI99 CZ77:CZ79 DA72:DA79 CZ7:DA11 DF7:DI11 DC24:DC44" xr:uid="{00000000-0002-0000-0000-000001000000}">
      <formula1>$R$131:$R$135</formula1>
    </dataValidation>
    <dataValidation type="list" allowBlank="1" showInputMessage="1" showErrorMessage="1" sqref="DF75:DI76 DF82:DI89" xr:uid="{00000000-0002-0000-0000-000002000000}">
      <formula1>$DF$101:$DF$103</formula1>
    </dataValidation>
    <dataValidation type="list" allowBlank="1" showInputMessage="1" showErrorMessage="1" sqref="CZ72 DC45 CZ69 CZ82:CZ89 DC75:DC76 DC82:DC89 CZ75:CZ76 CZ62" xr:uid="{00000000-0002-0000-0000-000003000000}">
      <formula1>$DF$101:$DF$132</formula1>
    </dataValidation>
    <dataValidation type="list" allowBlank="1" showInputMessage="1" showErrorMessage="1" sqref="DA82:DA89 DA99" xr:uid="{00000000-0002-0000-0000-000004000000}">
      <formula1>$DA$101:$DA$132</formula1>
    </dataValidation>
    <dataValidation type="list" allowBlank="1" showInputMessage="1" showErrorMessage="1" sqref="DC14:DC22" xr:uid="{C8568658-935A-4F86-B095-995502627AF7}">
      <formula1>$DF$99:$DF$130</formula1>
    </dataValidation>
    <dataValidation type="list" allowBlank="1" showInputMessage="1" showErrorMessage="1" sqref="DC12:DC13 CZ12:DA23 DF12:DI23 DC23" xr:uid="{ADF9DEC1-2A62-4A67-BA21-21DC60949315}">
      <formula1>$R$129:$R$133</formula1>
    </dataValidation>
    <dataValidation type="list" allowBlank="1" showInputMessage="1" showErrorMessage="1" sqref="X12:X23" xr:uid="{4E0F6B20-F004-415D-B0CD-0A29CD80F978}">
      <formula1>$Q$129:$Q$133</formula1>
    </dataValidation>
  </dataValidations>
  <hyperlinks>
    <hyperlink ref="DP6" r:id="rId1" xr:uid="{00000000-0004-0000-0000-000000000000}"/>
    <hyperlink ref="DQ7" r:id="rId2" location="page=3" xr:uid="{00000000-0004-0000-0000-000001000000}"/>
    <hyperlink ref="DQ8" r:id="rId3" location="page=5" xr:uid="{00000000-0004-0000-0000-000002000000}"/>
    <hyperlink ref="DQ9" r:id="rId4" location="page=6" xr:uid="{00000000-0004-0000-0000-000003000000}"/>
    <hyperlink ref="DQ10" r:id="rId5" location="page=8" xr:uid="{00000000-0004-0000-0000-000004000000}"/>
    <hyperlink ref="DQ11" r:id="rId6" location="page=9" xr:uid="{00000000-0004-0000-0000-000005000000}"/>
    <hyperlink ref="DQ24" r:id="rId7" location="page=16" xr:uid="{00000000-0004-0000-0000-00000B000000}"/>
    <hyperlink ref="DQ25" r:id="rId8" location="page=16" xr:uid="{00000000-0004-0000-0000-00000C000000}"/>
    <hyperlink ref="DQ26" r:id="rId9" location="page=18" xr:uid="{00000000-0004-0000-0000-00000D000000}"/>
    <hyperlink ref="DQ27" r:id="rId10" location="page=19" xr:uid="{00000000-0004-0000-0000-00000E000000}"/>
    <hyperlink ref="DQ28" r:id="rId11" location="page=21" xr:uid="{00000000-0004-0000-0000-00000F000000}"/>
    <hyperlink ref="DQ29" r:id="rId12" location="page=22" xr:uid="{00000000-0004-0000-0000-000010000000}"/>
    <hyperlink ref="DQ30" r:id="rId13" location="page=23" xr:uid="{00000000-0004-0000-0000-000011000000}"/>
    <hyperlink ref="DQ31" r:id="rId14" location="page=22" xr:uid="{00000000-0004-0000-0000-000012000000}"/>
    <hyperlink ref="DQ32" r:id="rId15" location="page=22" xr:uid="{00000000-0004-0000-0000-000013000000}"/>
    <hyperlink ref="DQ57" r:id="rId16" location="page=48" xr:uid="{00000000-0004-0000-0000-000014000000}"/>
    <hyperlink ref="DQ58" r:id="rId17" location="page=48" xr:uid="{00000000-0004-0000-0000-000015000000}"/>
    <hyperlink ref="DQ59" r:id="rId18" location="page=48" xr:uid="{00000000-0004-0000-0000-000016000000}"/>
    <hyperlink ref="DQ60" r:id="rId19" location="page=48" xr:uid="{00000000-0004-0000-0000-000017000000}"/>
    <hyperlink ref="DQ61" r:id="rId20" location="page=48" xr:uid="{00000000-0004-0000-0000-000018000000}"/>
    <hyperlink ref="DQ56" r:id="rId21" location="page=48" xr:uid="{00000000-0004-0000-0000-000019000000}"/>
    <hyperlink ref="DQ55" r:id="rId22" location="page=46" xr:uid="{00000000-0004-0000-0000-00001A000000}"/>
    <hyperlink ref="DQ54" r:id="rId23" location="page=46" xr:uid="{00000000-0004-0000-0000-00001B000000}"/>
    <hyperlink ref="DQ35" r:id="rId24" location="page=25" xr:uid="{00000000-0004-0000-0000-00001C000000}"/>
    <hyperlink ref="DQ36" r:id="rId25" location="page=26" xr:uid="{00000000-0004-0000-0000-00001D000000}"/>
    <hyperlink ref="DQ37" r:id="rId26" location="page=27" xr:uid="{00000000-0004-0000-0000-00001E000000}"/>
    <hyperlink ref="DQ38" r:id="rId27" location="page=28" xr:uid="{00000000-0004-0000-0000-00001F000000}"/>
    <hyperlink ref="DQ39" r:id="rId28" location="page=29" xr:uid="{00000000-0004-0000-0000-000020000000}"/>
    <hyperlink ref="DQ40" r:id="rId29" location="page=30" xr:uid="{00000000-0004-0000-0000-000021000000}"/>
    <hyperlink ref="DQ41" r:id="rId30" location="page=31" xr:uid="{00000000-0004-0000-0000-000022000000}"/>
    <hyperlink ref="DQ42" r:id="rId31" location="page=34" xr:uid="{00000000-0004-0000-0000-000023000000}"/>
    <hyperlink ref="DQ43" r:id="rId32" location="page=35" xr:uid="{00000000-0004-0000-0000-000024000000}"/>
    <hyperlink ref="DQ44" r:id="rId33" location="page=36" xr:uid="{00000000-0004-0000-0000-000025000000}"/>
    <hyperlink ref="DQ45" r:id="rId34" location="page=37" xr:uid="{00000000-0004-0000-0000-000026000000}"/>
    <hyperlink ref="DQ46" r:id="rId35" location="page=38" xr:uid="{00000000-0004-0000-0000-000027000000}"/>
    <hyperlink ref="DQ47" r:id="rId36" location="page=39" xr:uid="{00000000-0004-0000-0000-000028000000}"/>
    <hyperlink ref="DQ48" r:id="rId37" location="page=40" xr:uid="{00000000-0004-0000-0000-000029000000}"/>
    <hyperlink ref="DQ49" r:id="rId38" location="page=41" xr:uid="{00000000-0004-0000-0000-00002A000000}"/>
    <hyperlink ref="DQ50" r:id="rId39" location="page=42" xr:uid="{00000000-0004-0000-0000-00002B000000}"/>
    <hyperlink ref="DQ51" r:id="rId40" location="page=44" xr:uid="{00000000-0004-0000-0000-00002C000000}"/>
    <hyperlink ref="DQ53" r:id="rId41" location="page=45" xr:uid="{00000000-0004-0000-0000-00002D000000}"/>
    <hyperlink ref="DQ34" r:id="rId42" location="page=24" xr:uid="{00000000-0004-0000-0000-00002E000000}"/>
    <hyperlink ref="DQ33" r:id="rId43" location="page=24" xr:uid="{00000000-0004-0000-0000-00002F000000}"/>
  </hyperlinks>
  <pageMargins left="0.7" right="0.7" top="0.75" bottom="0.75" header="0.3" footer="0.3"/>
  <pageSetup scale="16" fitToWidth="2" fitToHeight="0" orientation="landscape" r:id="rId44"/>
  <headerFooter>
    <oddFooter>&amp;LAECOM Technical Services, Inc., Scott Horsley, and Offshoots, Inc. ©&amp;CCape Cod Com mission
208 Plan
Technology Matrix&amp;RPage &amp;P of &amp;N
Revised: December 16, 2019</oddFooter>
  </headerFooter>
  <ignoredErrors>
    <ignoredError sqref="AR27:AR28 AR48:AR55 AR62:AR79 AR33:AR37 AR24:AR25 AR39:AR46 AR9:AR11" unlockedFormula="1"/>
  </ignoredErrors>
  <drawing r:id="rId4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26"/>
  <sheetViews>
    <sheetView workbookViewId="0"/>
  </sheetViews>
  <sheetFormatPr defaultColWidth="8.59765625" defaultRowHeight="15" x14ac:dyDescent="0.2"/>
  <cols>
    <col min="1" max="1" width="79.19921875" customWidth="1"/>
  </cols>
  <sheetData>
    <row r="2" spans="1:1" x14ac:dyDescent="0.2">
      <c r="A2" s="434" t="s">
        <v>955</v>
      </c>
    </row>
    <row r="3" spans="1:1" ht="79.5" customHeight="1" x14ac:dyDescent="0.2">
      <c r="A3" s="435" t="s">
        <v>999</v>
      </c>
    </row>
    <row r="4" spans="1:1" ht="35.25" customHeight="1" x14ac:dyDescent="0.2">
      <c r="A4" s="435" t="s">
        <v>956</v>
      </c>
    </row>
    <row r="5" spans="1:1" ht="57" customHeight="1" x14ac:dyDescent="0.2">
      <c r="A5" s="435" t="s">
        <v>988</v>
      </c>
    </row>
    <row r="6" spans="1:1" ht="32.25" customHeight="1" x14ac:dyDescent="0.2">
      <c r="A6" s="434" t="s">
        <v>700</v>
      </c>
    </row>
    <row r="7" spans="1:1" ht="54.75" customHeight="1" x14ac:dyDescent="0.2">
      <c r="A7" s="435" t="s">
        <v>989</v>
      </c>
    </row>
    <row r="8" spans="1:1" ht="40.5" customHeight="1" x14ac:dyDescent="0.2">
      <c r="A8" s="435" t="s">
        <v>957</v>
      </c>
    </row>
    <row r="9" spans="1:1" ht="53.25" customHeight="1" x14ac:dyDescent="0.2">
      <c r="A9" s="435" t="s">
        <v>992</v>
      </c>
    </row>
    <row r="10" spans="1:1" ht="30" x14ac:dyDescent="0.25">
      <c r="A10" s="582" t="s">
        <v>993</v>
      </c>
    </row>
    <row r="11" spans="1:1" ht="60" x14ac:dyDescent="0.25">
      <c r="A11" s="582" t="s">
        <v>958</v>
      </c>
    </row>
    <row r="12" spans="1:1" ht="30" x14ac:dyDescent="0.2">
      <c r="A12" s="435" t="s">
        <v>990</v>
      </c>
    </row>
    <row r="13" spans="1:1" ht="60" x14ac:dyDescent="0.25">
      <c r="A13" s="582" t="s">
        <v>991</v>
      </c>
    </row>
    <row r="14" spans="1:1" ht="15.75" x14ac:dyDescent="0.25">
      <c r="A14" s="596"/>
    </row>
    <row r="15" spans="1:1" ht="22.5" customHeight="1" x14ac:dyDescent="0.2">
      <c r="A15" s="434" t="s">
        <v>698</v>
      </c>
    </row>
    <row r="16" spans="1:1" ht="39" customHeight="1" x14ac:dyDescent="0.2">
      <c r="A16" s="435" t="s">
        <v>836</v>
      </c>
    </row>
    <row r="17" spans="1:1" ht="19.5" customHeight="1" x14ac:dyDescent="0.2">
      <c r="A17" s="435" t="s">
        <v>784</v>
      </c>
    </row>
    <row r="18" spans="1:1" ht="53.25" customHeight="1" x14ac:dyDescent="0.2">
      <c r="A18" s="435" t="s">
        <v>783</v>
      </c>
    </row>
    <row r="19" spans="1:1" ht="99" customHeight="1" x14ac:dyDescent="0.2">
      <c r="A19" s="435" t="s">
        <v>699</v>
      </c>
    </row>
    <row r="20" spans="1:1" ht="22.5" customHeight="1" x14ac:dyDescent="0.2">
      <c r="A20" s="434" t="s">
        <v>700</v>
      </c>
    </row>
    <row r="21" spans="1:1" ht="90" x14ac:dyDescent="0.2">
      <c r="A21" s="435" t="s">
        <v>701</v>
      </c>
    </row>
    <row r="22" spans="1:1" ht="45" customHeight="1" x14ac:dyDescent="0.2">
      <c r="A22" s="435" t="s">
        <v>702</v>
      </c>
    </row>
    <row r="23" spans="1:1" ht="29.25" customHeight="1" x14ac:dyDescent="0.2">
      <c r="A23" s="435" t="s">
        <v>703</v>
      </c>
    </row>
    <row r="24" spans="1:1" ht="62.25" customHeight="1" x14ac:dyDescent="0.2">
      <c r="A24" s="435" t="s">
        <v>704</v>
      </c>
    </row>
    <row r="25" spans="1:1" ht="45" customHeight="1" x14ac:dyDescent="0.2">
      <c r="A25" s="434" t="s">
        <v>705</v>
      </c>
    </row>
    <row r="26" spans="1:1" ht="65.25" customHeight="1" x14ac:dyDescent="0.2">
      <c r="A26" s="435" t="s">
        <v>837</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3:B35"/>
  <sheetViews>
    <sheetView workbookViewId="0"/>
  </sheetViews>
  <sheetFormatPr defaultColWidth="8.59765625" defaultRowHeight="15" x14ac:dyDescent="0.2"/>
  <cols>
    <col min="2" max="2" width="79.19921875" customWidth="1"/>
  </cols>
  <sheetData>
    <row r="3" spans="2:2" x14ac:dyDescent="0.2">
      <c r="B3" s="422" t="s">
        <v>663</v>
      </c>
    </row>
    <row r="4" spans="2:2" ht="30" customHeight="1" x14ac:dyDescent="0.2">
      <c r="B4" s="423" t="s">
        <v>664</v>
      </c>
    </row>
    <row r="5" spans="2:2" ht="45.75" customHeight="1" x14ac:dyDescent="0.2">
      <c r="B5" s="423" t="s">
        <v>665</v>
      </c>
    </row>
    <row r="6" spans="2:2" ht="59.25" customHeight="1" x14ac:dyDescent="0.2">
      <c r="B6" s="423" t="s">
        <v>666</v>
      </c>
    </row>
    <row r="7" spans="2:2" ht="27" customHeight="1" x14ac:dyDescent="0.2">
      <c r="B7" s="423" t="s">
        <v>667</v>
      </c>
    </row>
    <row r="8" spans="2:2" x14ac:dyDescent="0.2">
      <c r="B8" s="424" t="s">
        <v>668</v>
      </c>
    </row>
    <row r="9" spans="2:2" ht="30" x14ac:dyDescent="0.2">
      <c r="B9" s="424" t="s">
        <v>669</v>
      </c>
    </row>
    <row r="10" spans="2:2" ht="75.75" customHeight="1" x14ac:dyDescent="0.2">
      <c r="B10" s="423" t="s">
        <v>670</v>
      </c>
    </row>
    <row r="11" spans="2:2" ht="60.75" customHeight="1" x14ac:dyDescent="0.2">
      <c r="B11" s="423" t="s">
        <v>671</v>
      </c>
    </row>
    <row r="12" spans="2:2" ht="30" x14ac:dyDescent="0.2">
      <c r="B12" s="424" t="s">
        <v>672</v>
      </c>
    </row>
    <row r="13" spans="2:2" x14ac:dyDescent="0.2">
      <c r="B13" s="424" t="s">
        <v>673</v>
      </c>
    </row>
    <row r="14" spans="2:2" ht="90" x14ac:dyDescent="0.2">
      <c r="B14" s="423" t="s">
        <v>674</v>
      </c>
    </row>
    <row r="15" spans="2:2" ht="136.5" customHeight="1" x14ac:dyDescent="0.2">
      <c r="B15" s="423" t="s">
        <v>675</v>
      </c>
    </row>
    <row r="16" spans="2:2" ht="30.75" customHeight="1" x14ac:dyDescent="0.2">
      <c r="B16" s="423" t="s">
        <v>676</v>
      </c>
    </row>
    <row r="17" spans="2:2" ht="152.25" customHeight="1" x14ac:dyDescent="0.2">
      <c r="B17" s="423" t="s">
        <v>677</v>
      </c>
    </row>
    <row r="18" spans="2:2" ht="30.75" customHeight="1" x14ac:dyDescent="0.2">
      <c r="B18" s="423" t="s">
        <v>678</v>
      </c>
    </row>
    <row r="19" spans="2:2" ht="46.5" customHeight="1" x14ac:dyDescent="0.2">
      <c r="B19" s="423" t="s">
        <v>679</v>
      </c>
    </row>
    <row r="20" spans="2:2" ht="48.75" customHeight="1" x14ac:dyDescent="0.2">
      <c r="B20" s="423" t="s">
        <v>680</v>
      </c>
    </row>
    <row r="21" spans="2:2" ht="89.25" customHeight="1" x14ac:dyDescent="0.2">
      <c r="B21" s="423" t="s">
        <v>681</v>
      </c>
    </row>
    <row r="22" spans="2:2" ht="75" x14ac:dyDescent="0.2">
      <c r="B22" s="423" t="s">
        <v>682</v>
      </c>
    </row>
    <row r="23" spans="2:2" ht="93" customHeight="1" x14ac:dyDescent="0.2">
      <c r="B23" s="423" t="s">
        <v>683</v>
      </c>
    </row>
    <row r="24" spans="2:2" ht="75.75" customHeight="1" x14ac:dyDescent="0.2">
      <c r="B24" s="423" t="s">
        <v>684</v>
      </c>
    </row>
    <row r="25" spans="2:2" ht="78" customHeight="1" x14ac:dyDescent="0.2">
      <c r="B25" s="423" t="s">
        <v>685</v>
      </c>
    </row>
    <row r="26" spans="2:2" ht="75.75" customHeight="1" x14ac:dyDescent="0.2">
      <c r="B26" s="423" t="s">
        <v>686</v>
      </c>
    </row>
    <row r="27" spans="2:2" ht="91.5" customHeight="1" x14ac:dyDescent="0.2">
      <c r="B27" s="423" t="s">
        <v>687</v>
      </c>
    </row>
    <row r="28" spans="2:2" ht="90" x14ac:dyDescent="0.2">
      <c r="B28" s="423" t="s">
        <v>688</v>
      </c>
    </row>
    <row r="29" spans="2:2" ht="47.25" customHeight="1" x14ac:dyDescent="0.2">
      <c r="B29" s="423" t="s">
        <v>689</v>
      </c>
    </row>
    <row r="30" spans="2:2" ht="77.25" customHeight="1" x14ac:dyDescent="0.2">
      <c r="B30" s="423" t="s">
        <v>690</v>
      </c>
    </row>
    <row r="31" spans="2:2" ht="75" customHeight="1" x14ac:dyDescent="0.2">
      <c r="B31" s="423" t="s">
        <v>691</v>
      </c>
    </row>
    <row r="32" spans="2:2" ht="48" customHeight="1" x14ac:dyDescent="0.2">
      <c r="B32" s="423" t="s">
        <v>692</v>
      </c>
    </row>
    <row r="33" spans="2:2" ht="150.75" customHeight="1" x14ac:dyDescent="0.2">
      <c r="B33" s="423" t="s">
        <v>693</v>
      </c>
    </row>
    <row r="34" spans="2:2" ht="75.75" customHeight="1" x14ac:dyDescent="0.2">
      <c r="B34" s="423" t="s">
        <v>694</v>
      </c>
    </row>
    <row r="35" spans="2:2" ht="180" x14ac:dyDescent="0.2">
      <c r="B35" s="423" t="s">
        <v>695</v>
      </c>
    </row>
  </sheetData>
  <sheetProtection algorithmName="SHA-512" hashValue="JuHccw0ne4ESAAKNbxjgcGQbGJX66PQ8V6C/M4zLE9o3K0ofc+srF/0y30ksa69ldKwqRy6WURAC46jjYMM0Hg==" saltValue="KFH4+nAdkFg3WsuGBTPJoA==" spinCount="100000" sheet="1" objects="1" scenarios="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34D78-7826-4926-8777-34A59895956C}">
  <dimension ref="B1:G45"/>
  <sheetViews>
    <sheetView topLeftCell="A7" workbookViewId="0">
      <selection activeCell="E30" sqref="E30"/>
    </sheetView>
  </sheetViews>
  <sheetFormatPr defaultRowHeight="15" x14ac:dyDescent="0.2"/>
  <cols>
    <col min="2" max="2" width="28.59765625" bestFit="1" customWidth="1"/>
    <col min="3" max="3" width="33.796875" bestFit="1" customWidth="1"/>
    <col min="4" max="4" width="24.69921875" bestFit="1" customWidth="1"/>
    <col min="5" max="5" width="26.5" bestFit="1" customWidth="1"/>
  </cols>
  <sheetData>
    <row r="1" spans="2:4" x14ac:dyDescent="0.2">
      <c r="B1" s="871" t="s">
        <v>985</v>
      </c>
      <c r="C1" s="871"/>
      <c r="D1" s="871"/>
    </row>
    <row r="37" spans="2:7" x14ac:dyDescent="0.2">
      <c r="B37" s="872" t="s">
        <v>986</v>
      </c>
      <c r="C37" s="872"/>
      <c r="D37" s="872"/>
      <c r="E37" s="872"/>
    </row>
    <row r="38" spans="2:7" ht="15.75" x14ac:dyDescent="0.25">
      <c r="B38" s="592" t="s">
        <v>977</v>
      </c>
      <c r="C38" s="592" t="s">
        <v>964</v>
      </c>
      <c r="D38" s="592" t="s">
        <v>965</v>
      </c>
      <c r="E38" s="592" t="s">
        <v>966</v>
      </c>
    </row>
    <row r="39" spans="2:7" ht="15.75" x14ac:dyDescent="0.25">
      <c r="B39" s="594" t="s">
        <v>978</v>
      </c>
      <c r="C39" s="594" t="s">
        <v>77</v>
      </c>
      <c r="D39" s="594" t="s">
        <v>967</v>
      </c>
      <c r="E39" s="594" t="s">
        <v>77</v>
      </c>
      <c r="F39" s="594"/>
      <c r="G39" s="593"/>
    </row>
    <row r="40" spans="2:7" ht="15.75" x14ac:dyDescent="0.25">
      <c r="B40" s="594" t="s">
        <v>979</v>
      </c>
      <c r="C40" s="594" t="s">
        <v>77</v>
      </c>
      <c r="D40" s="594" t="s">
        <v>967</v>
      </c>
      <c r="E40" s="594" t="s">
        <v>77</v>
      </c>
      <c r="F40" s="594"/>
      <c r="G40" s="593"/>
    </row>
    <row r="41" spans="2:7" ht="15.75" x14ac:dyDescent="0.25">
      <c r="B41" s="594" t="s">
        <v>980</v>
      </c>
      <c r="C41" s="594" t="s">
        <v>968</v>
      </c>
      <c r="D41" s="594" t="s">
        <v>969</v>
      </c>
      <c r="E41" s="594" t="s">
        <v>970</v>
      </c>
      <c r="F41" s="594"/>
      <c r="G41" s="593"/>
    </row>
    <row r="42" spans="2:7" ht="15.75" x14ac:dyDescent="0.25">
      <c r="B42" s="594" t="s">
        <v>981</v>
      </c>
      <c r="C42" s="594" t="s">
        <v>971</v>
      </c>
      <c r="D42" s="594" t="s">
        <v>971</v>
      </c>
      <c r="E42" s="594" t="s">
        <v>971</v>
      </c>
      <c r="F42" s="594"/>
      <c r="G42" s="593"/>
    </row>
    <row r="43" spans="2:7" ht="15.75" x14ac:dyDescent="0.25">
      <c r="B43" s="594" t="s">
        <v>982</v>
      </c>
      <c r="C43" s="594" t="s">
        <v>972</v>
      </c>
      <c r="D43" s="594" t="s">
        <v>973</v>
      </c>
      <c r="E43" s="594" t="s">
        <v>974</v>
      </c>
      <c r="F43" s="594"/>
      <c r="G43" s="593"/>
    </row>
    <row r="44" spans="2:7" ht="15.75" x14ac:dyDescent="0.25">
      <c r="B44" s="594" t="s">
        <v>983</v>
      </c>
      <c r="C44" s="594" t="s">
        <v>972</v>
      </c>
      <c r="D44" s="594" t="s">
        <v>973</v>
      </c>
      <c r="E44" s="594" t="s">
        <v>974</v>
      </c>
      <c r="F44" s="594"/>
      <c r="G44" s="593"/>
    </row>
    <row r="45" spans="2:7" ht="15.75" x14ac:dyDescent="0.25">
      <c r="B45" s="594" t="s">
        <v>984</v>
      </c>
      <c r="C45" s="594" t="s">
        <v>975</v>
      </c>
      <c r="D45" s="594" t="s">
        <v>976</v>
      </c>
      <c r="E45" s="594" t="s">
        <v>971</v>
      </c>
      <c r="F45" s="594"/>
      <c r="G45" s="593"/>
    </row>
  </sheetData>
  <mergeCells count="2">
    <mergeCell ref="B1:D1"/>
    <mergeCell ref="B37:E37"/>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43"/>
  <sheetViews>
    <sheetView workbookViewId="0"/>
  </sheetViews>
  <sheetFormatPr defaultColWidth="8.59765625" defaultRowHeight="15" x14ac:dyDescent="0.2"/>
  <cols>
    <col min="1" max="1" width="33.5" customWidth="1"/>
  </cols>
  <sheetData>
    <row r="1" spans="1:17" x14ac:dyDescent="0.2">
      <c r="A1" t="s">
        <v>772</v>
      </c>
    </row>
    <row r="3" spans="1:17" ht="15.75" x14ac:dyDescent="0.25">
      <c r="A3" s="437" t="s">
        <v>706</v>
      </c>
      <c r="B3" s="437"/>
      <c r="C3" s="437"/>
      <c r="D3" s="437"/>
      <c r="E3" s="437"/>
      <c r="F3" s="437"/>
      <c r="G3" s="437"/>
      <c r="H3" s="437"/>
      <c r="I3" s="437"/>
      <c r="J3" s="437"/>
      <c r="K3" s="437"/>
      <c r="L3" s="437"/>
      <c r="M3" s="437"/>
      <c r="N3" s="437"/>
      <c r="O3" s="437"/>
      <c r="P3" s="437"/>
      <c r="Q3" s="437"/>
    </row>
    <row r="4" spans="1:17" ht="15.75" x14ac:dyDescent="0.25">
      <c r="A4" s="437" t="s">
        <v>707</v>
      </c>
      <c r="B4" s="437"/>
      <c r="C4" s="437"/>
      <c r="D4" s="437"/>
      <c r="E4" s="437"/>
      <c r="F4" s="437"/>
      <c r="G4" s="437"/>
      <c r="H4" s="437"/>
      <c r="I4" s="437"/>
      <c r="J4" s="437"/>
      <c r="K4" s="437"/>
      <c r="L4" s="437"/>
      <c r="M4" s="437"/>
      <c r="N4" s="437"/>
      <c r="O4" s="437"/>
      <c r="P4" s="437"/>
      <c r="Q4" s="437"/>
    </row>
    <row r="6" spans="1:17" ht="15.75" x14ac:dyDescent="0.25">
      <c r="A6" s="445" t="s">
        <v>708</v>
      </c>
      <c r="B6" s="438"/>
      <c r="C6" s="437"/>
      <c r="D6" s="437"/>
      <c r="E6" s="437"/>
      <c r="F6" s="437"/>
      <c r="G6" s="437"/>
      <c r="H6" s="437"/>
      <c r="I6" s="437"/>
      <c r="J6" s="437"/>
      <c r="K6" s="437"/>
      <c r="L6" s="437"/>
      <c r="M6" s="437"/>
      <c r="N6" s="437"/>
      <c r="O6" s="437"/>
      <c r="P6" s="437"/>
      <c r="Q6" s="437"/>
    </row>
    <row r="7" spans="1:17" ht="15.75" x14ac:dyDescent="0.25">
      <c r="A7" s="437"/>
      <c r="B7" s="873" t="s">
        <v>709</v>
      </c>
      <c r="C7" s="873"/>
      <c r="D7" s="445"/>
      <c r="E7" s="445"/>
      <c r="F7" s="445"/>
      <c r="G7" s="445"/>
      <c r="H7" s="445"/>
      <c r="I7" s="445"/>
      <c r="J7" s="445"/>
      <c r="K7" s="445"/>
      <c r="L7" s="445"/>
      <c r="M7" s="445"/>
      <c r="N7" s="445"/>
      <c r="O7" s="445"/>
      <c r="P7" s="445"/>
      <c r="Q7" s="437"/>
    </row>
    <row r="8" spans="1:17" ht="30" x14ac:dyDescent="0.25">
      <c r="A8" s="437"/>
      <c r="B8" s="452" t="s">
        <v>710</v>
      </c>
      <c r="C8" s="452" t="s">
        <v>711</v>
      </c>
      <c r="D8" s="452" t="s">
        <v>712</v>
      </c>
      <c r="E8" s="452" t="s">
        <v>12</v>
      </c>
      <c r="F8" s="452" t="s">
        <v>713</v>
      </c>
      <c r="G8" s="453" t="s">
        <v>714</v>
      </c>
      <c r="H8" s="453" t="s">
        <v>715</v>
      </c>
      <c r="I8" s="453" t="s">
        <v>716</v>
      </c>
      <c r="J8" s="453" t="s">
        <v>717</v>
      </c>
      <c r="K8" s="477" t="s">
        <v>718</v>
      </c>
      <c r="L8" s="453" t="s">
        <v>719</v>
      </c>
      <c r="M8" s="453" t="s">
        <v>720</v>
      </c>
      <c r="N8" s="477" t="s">
        <v>720</v>
      </c>
      <c r="O8" s="453" t="s">
        <v>721</v>
      </c>
      <c r="P8" s="452" t="s">
        <v>722</v>
      </c>
      <c r="Q8" s="452"/>
    </row>
    <row r="9" spans="1:17" ht="15.75" x14ac:dyDescent="0.25">
      <c r="A9" s="437"/>
      <c r="B9" s="452" t="s">
        <v>723</v>
      </c>
      <c r="C9" s="452" t="s">
        <v>723</v>
      </c>
      <c r="D9" s="452" t="s">
        <v>723</v>
      </c>
      <c r="E9" s="452" t="s">
        <v>724</v>
      </c>
      <c r="F9" s="452" t="s">
        <v>725</v>
      </c>
      <c r="G9" s="452" t="s">
        <v>726</v>
      </c>
      <c r="H9" s="452" t="s">
        <v>727</v>
      </c>
      <c r="I9" s="452" t="s">
        <v>468</v>
      </c>
      <c r="J9" s="452" t="s">
        <v>728</v>
      </c>
      <c r="K9" s="478" t="s">
        <v>729</v>
      </c>
      <c r="L9" s="452"/>
      <c r="M9" s="452" t="s">
        <v>728</v>
      </c>
      <c r="N9" s="478" t="s">
        <v>729</v>
      </c>
      <c r="O9" s="452" t="s">
        <v>730</v>
      </c>
      <c r="P9" s="452" t="s">
        <v>731</v>
      </c>
      <c r="Q9" s="452" t="s">
        <v>732</v>
      </c>
    </row>
    <row r="10" spans="1:17" ht="15.75" x14ac:dyDescent="0.25">
      <c r="A10" s="486" t="s">
        <v>733</v>
      </c>
      <c r="B10" s="447">
        <v>0.2</v>
      </c>
      <c r="C10" s="446">
        <v>30</v>
      </c>
      <c r="D10" s="442">
        <v>29.8</v>
      </c>
      <c r="E10" s="449">
        <v>4.3E-3</v>
      </c>
      <c r="F10" s="442">
        <v>1</v>
      </c>
      <c r="G10" s="441">
        <v>0.12814</v>
      </c>
      <c r="H10" s="446">
        <v>350</v>
      </c>
      <c r="I10" s="451">
        <v>2000</v>
      </c>
      <c r="J10" s="472">
        <v>18.905633878895909</v>
      </c>
      <c r="K10" s="479">
        <v>823529.41176470579</v>
      </c>
      <c r="L10" s="475">
        <v>0.15</v>
      </c>
      <c r="M10" s="442">
        <v>16.069788797061523</v>
      </c>
      <c r="N10" s="479">
        <v>700000</v>
      </c>
      <c r="O10" s="476">
        <v>1</v>
      </c>
      <c r="P10" s="443">
        <v>2.0591827364554636</v>
      </c>
      <c r="Q10" s="442">
        <v>89.697999999999993</v>
      </c>
    </row>
    <row r="11" spans="1:17" ht="15.75" x14ac:dyDescent="0.25">
      <c r="A11" s="486" t="s">
        <v>734</v>
      </c>
      <c r="B11" s="447"/>
      <c r="C11" s="446"/>
      <c r="D11" s="442"/>
      <c r="E11" s="449"/>
      <c r="F11" s="442"/>
      <c r="G11" s="441"/>
      <c r="H11" s="446">
        <v>600</v>
      </c>
      <c r="I11" s="446">
        <v>4500</v>
      </c>
      <c r="J11" s="472">
        <v>72.921730675741372</v>
      </c>
      <c r="K11" s="479">
        <v>3176470.588235294</v>
      </c>
      <c r="L11" s="475">
        <v>0.15</v>
      </c>
      <c r="M11" s="442">
        <v>61.983471074380162</v>
      </c>
      <c r="N11" s="479">
        <v>2700000</v>
      </c>
      <c r="O11" s="476">
        <v>1</v>
      </c>
      <c r="P11" s="443">
        <v>7.9425619834710739</v>
      </c>
      <c r="Q11" s="442">
        <v>350</v>
      </c>
    </row>
    <row r="12" spans="1:17" ht="15.75" x14ac:dyDescent="0.25">
      <c r="A12" s="486" t="s">
        <v>735</v>
      </c>
      <c r="B12" s="446">
        <v>30</v>
      </c>
      <c r="C12" s="446">
        <v>60</v>
      </c>
      <c r="D12" s="442">
        <v>30</v>
      </c>
      <c r="E12" s="449">
        <v>4.3E-3</v>
      </c>
      <c r="F12" s="442">
        <v>1</v>
      </c>
      <c r="G12" s="441">
        <v>0.129</v>
      </c>
      <c r="H12" s="471"/>
      <c r="I12" s="472"/>
      <c r="J12" s="472">
        <v>10.803219359369091</v>
      </c>
      <c r="K12" s="479">
        <v>470588.23529411759</v>
      </c>
      <c r="L12" s="475">
        <v>0.15</v>
      </c>
      <c r="M12" s="443">
        <v>9.1827364554637274</v>
      </c>
      <c r="N12" s="479">
        <v>399999.99999999994</v>
      </c>
      <c r="O12" s="476">
        <v>1</v>
      </c>
      <c r="P12" s="441">
        <v>1.1845730027548209</v>
      </c>
      <c r="Q12" s="442">
        <v>51.6</v>
      </c>
    </row>
    <row r="13" spans="1:17" ht="15.75" x14ac:dyDescent="0.25">
      <c r="A13" s="486" t="s">
        <v>736</v>
      </c>
      <c r="B13" s="446"/>
      <c r="C13" s="446"/>
      <c r="D13" s="442"/>
      <c r="E13" s="449"/>
      <c r="F13" s="442"/>
      <c r="G13" s="444"/>
      <c r="H13" s="471"/>
      <c r="I13" s="471"/>
      <c r="J13" s="472">
        <v>21.606438718738183</v>
      </c>
      <c r="K13" s="479">
        <v>941176.47058823518</v>
      </c>
      <c r="L13" s="475">
        <v>0.15</v>
      </c>
      <c r="M13" s="442">
        <v>18.365472910927455</v>
      </c>
      <c r="N13" s="479">
        <v>799999.99999999988</v>
      </c>
      <c r="O13" s="476">
        <v>1</v>
      </c>
      <c r="P13" s="441">
        <v>2.3691460055096418</v>
      </c>
      <c r="Q13" s="442">
        <v>100</v>
      </c>
    </row>
    <row r="14" spans="1:17" ht="15.75" x14ac:dyDescent="0.25">
      <c r="A14" s="490" t="s">
        <v>697</v>
      </c>
      <c r="B14" s="471">
        <v>0</v>
      </c>
      <c r="C14" s="471">
        <v>71</v>
      </c>
      <c r="D14" s="472">
        <v>71</v>
      </c>
      <c r="E14" s="491">
        <v>5.0000000000000001E-3</v>
      </c>
      <c r="F14" s="472">
        <v>3</v>
      </c>
      <c r="G14" s="492">
        <v>0.11833333333333333</v>
      </c>
      <c r="H14" s="493"/>
      <c r="I14" s="493"/>
      <c r="J14" s="471"/>
      <c r="K14" s="471"/>
      <c r="L14" s="493"/>
      <c r="M14" s="471">
        <v>10</v>
      </c>
      <c r="N14" s="479">
        <v>435600</v>
      </c>
      <c r="O14" s="494">
        <v>1</v>
      </c>
      <c r="P14" s="495">
        <v>1.1833333333333333</v>
      </c>
      <c r="Q14" s="472">
        <v>51.545999999999999</v>
      </c>
    </row>
    <row r="15" spans="1:17" ht="15.75" x14ac:dyDescent="0.25">
      <c r="A15" s="445" t="s">
        <v>737</v>
      </c>
      <c r="B15" s="448">
        <v>1</v>
      </c>
      <c r="C15" s="446">
        <v>40</v>
      </c>
      <c r="D15" s="442">
        <v>39</v>
      </c>
      <c r="E15" s="449">
        <v>4.3E-3</v>
      </c>
      <c r="F15" s="442">
        <v>2</v>
      </c>
      <c r="G15" s="444">
        <v>8.3849999999999994E-2</v>
      </c>
      <c r="H15" s="450" t="s">
        <v>738</v>
      </c>
      <c r="I15" s="450" t="s">
        <v>738</v>
      </c>
      <c r="J15" s="446">
        <v>50</v>
      </c>
      <c r="K15" s="479">
        <v>2178000</v>
      </c>
      <c r="L15" s="475">
        <v>0.4</v>
      </c>
      <c r="M15" s="440">
        <v>30</v>
      </c>
      <c r="N15" s="479">
        <v>1306800</v>
      </c>
      <c r="O15" s="476">
        <v>0.66115702479338845</v>
      </c>
      <c r="P15" s="443">
        <v>1.6631404958677685</v>
      </c>
      <c r="Q15" s="442">
        <v>70</v>
      </c>
    </row>
    <row r="16" spans="1:17" ht="15.75" x14ac:dyDescent="0.25">
      <c r="A16" s="445" t="s">
        <v>739</v>
      </c>
      <c r="B16" s="446">
        <v>40</v>
      </c>
      <c r="C16" s="446">
        <v>57</v>
      </c>
      <c r="D16" s="442">
        <v>17</v>
      </c>
      <c r="E16" s="449">
        <v>4.3E-3</v>
      </c>
      <c r="F16" s="442">
        <v>1</v>
      </c>
      <c r="G16" s="444">
        <v>7.3099999999999998E-2</v>
      </c>
      <c r="H16" s="450" t="s">
        <v>738</v>
      </c>
      <c r="I16" s="450" t="s">
        <v>738</v>
      </c>
      <c r="J16" s="448">
        <v>6</v>
      </c>
      <c r="K16" s="479">
        <v>261360</v>
      </c>
      <c r="L16" s="475">
        <v>0.2</v>
      </c>
      <c r="M16" s="443">
        <v>4.8000000000000007</v>
      </c>
      <c r="N16" s="479">
        <v>209088.00000000003</v>
      </c>
      <c r="O16" s="476">
        <v>1</v>
      </c>
      <c r="P16" s="441">
        <v>0.35088000000000003</v>
      </c>
      <c r="Q16" s="442">
        <v>15.284332800000001</v>
      </c>
    </row>
    <row r="19" spans="1:17" ht="15.75" x14ac:dyDescent="0.25">
      <c r="A19" s="445"/>
      <c r="B19" s="437"/>
      <c r="C19" s="437"/>
      <c r="D19" s="437"/>
      <c r="E19" s="437"/>
      <c r="F19" s="437"/>
      <c r="G19" s="437"/>
      <c r="H19" s="437"/>
      <c r="I19" s="437"/>
      <c r="J19" s="437"/>
      <c r="K19" s="437"/>
      <c r="L19" s="437"/>
      <c r="M19" s="437"/>
      <c r="N19" s="437"/>
      <c r="O19" s="437"/>
      <c r="P19" s="437"/>
      <c r="Q19" s="437"/>
    </row>
    <row r="20" spans="1:17" ht="15.75" x14ac:dyDescent="0.25">
      <c r="A20" s="445"/>
      <c r="B20" s="437"/>
      <c r="C20" s="437"/>
      <c r="D20" s="437"/>
      <c r="E20" s="437"/>
      <c r="F20" s="437"/>
      <c r="G20" s="437"/>
      <c r="H20" s="437"/>
      <c r="I20" s="437"/>
      <c r="J20" s="437"/>
      <c r="K20" s="437"/>
      <c r="L20" s="437"/>
      <c r="M20" s="437"/>
      <c r="N20" s="437"/>
      <c r="O20" s="437"/>
      <c r="P20" s="437"/>
      <c r="Q20" s="437"/>
    </row>
    <row r="21" spans="1:17" ht="15.75" x14ac:dyDescent="0.25">
      <c r="A21" s="437"/>
      <c r="B21" s="873"/>
      <c r="C21" s="873"/>
      <c r="D21" s="437"/>
      <c r="E21" s="437"/>
      <c r="F21" s="437"/>
      <c r="G21" s="437"/>
      <c r="H21" s="437"/>
      <c r="I21" s="437"/>
      <c r="J21" s="437"/>
      <c r="K21" s="437"/>
      <c r="L21" s="437"/>
      <c r="M21" s="437"/>
      <c r="N21" s="437"/>
      <c r="O21" s="437"/>
      <c r="P21" s="437"/>
      <c r="Q21" s="437"/>
    </row>
    <row r="22" spans="1:17" ht="77.25" x14ac:dyDescent="0.25">
      <c r="A22" s="455" t="s">
        <v>740</v>
      </c>
      <c r="B22" s="454" t="s">
        <v>741</v>
      </c>
      <c r="C22" s="454" t="s">
        <v>742</v>
      </c>
      <c r="D22" s="454" t="s">
        <v>743</v>
      </c>
      <c r="E22" s="454" t="s">
        <v>744</v>
      </c>
      <c r="F22" s="454" t="s">
        <v>745</v>
      </c>
      <c r="G22" s="454" t="s">
        <v>746</v>
      </c>
      <c r="H22" s="454" t="s">
        <v>747</v>
      </c>
      <c r="I22" s="480" t="s">
        <v>748</v>
      </c>
      <c r="J22" s="454" t="s">
        <v>749</v>
      </c>
      <c r="K22" s="454" t="s">
        <v>750</v>
      </c>
      <c r="L22" s="480" t="s">
        <v>751</v>
      </c>
      <c r="M22" s="454" t="s">
        <v>752</v>
      </c>
      <c r="N22" s="437"/>
      <c r="O22" s="437"/>
      <c r="P22" s="437"/>
      <c r="Q22" s="437"/>
    </row>
    <row r="23" spans="1:17" ht="30.75" thickBot="1" x14ac:dyDescent="0.3">
      <c r="A23" s="468"/>
      <c r="B23" s="469" t="s">
        <v>753</v>
      </c>
      <c r="C23" s="469" t="s">
        <v>753</v>
      </c>
      <c r="D23" s="469" t="s">
        <v>753</v>
      </c>
      <c r="E23" s="469" t="s">
        <v>724</v>
      </c>
      <c r="F23" s="469" t="s">
        <v>725</v>
      </c>
      <c r="G23" s="469" t="s">
        <v>754</v>
      </c>
      <c r="H23" s="469" t="s">
        <v>755</v>
      </c>
      <c r="I23" s="481" t="s">
        <v>756</v>
      </c>
      <c r="J23" s="469" t="s">
        <v>757</v>
      </c>
      <c r="K23" s="469" t="s">
        <v>755</v>
      </c>
      <c r="L23" s="481" t="s">
        <v>756</v>
      </c>
      <c r="M23" s="469" t="s">
        <v>758</v>
      </c>
      <c r="N23" s="437"/>
      <c r="O23" s="437"/>
      <c r="P23" s="437"/>
      <c r="Q23" s="437"/>
    </row>
    <row r="24" spans="1:17" ht="18" thickTop="1" x14ac:dyDescent="0.25">
      <c r="A24" s="487" t="s">
        <v>759</v>
      </c>
      <c r="B24" s="465">
        <v>0.2</v>
      </c>
      <c r="C24" s="457">
        <v>30</v>
      </c>
      <c r="D24" s="457">
        <v>29.8</v>
      </c>
      <c r="E24" s="458">
        <v>4.3E-3</v>
      </c>
      <c r="F24" s="457">
        <v>1</v>
      </c>
      <c r="G24" s="465">
        <v>0.12814</v>
      </c>
      <c r="H24" s="457">
        <v>18.905633878895909</v>
      </c>
      <c r="I24" s="482">
        <v>820000</v>
      </c>
      <c r="J24" s="473">
        <v>0.15</v>
      </c>
      <c r="K24" s="457">
        <v>16.069788797061523</v>
      </c>
      <c r="L24" s="482">
        <v>700000</v>
      </c>
      <c r="M24" s="457">
        <v>89.697999999999993</v>
      </c>
      <c r="N24" s="439"/>
      <c r="O24" s="439"/>
      <c r="P24" s="439"/>
      <c r="Q24" s="439"/>
    </row>
    <row r="25" spans="1:17" ht="18" thickBot="1" x14ac:dyDescent="0.3">
      <c r="A25" s="488" t="s">
        <v>760</v>
      </c>
      <c r="B25" s="464">
        <v>0.2</v>
      </c>
      <c r="C25" s="462">
        <v>30</v>
      </c>
      <c r="D25" s="462">
        <v>29.8</v>
      </c>
      <c r="E25" s="463">
        <v>4.3E-3</v>
      </c>
      <c r="F25" s="462">
        <v>1</v>
      </c>
      <c r="G25" s="464">
        <v>0.12814</v>
      </c>
      <c r="H25" s="462">
        <v>72.921730675741372</v>
      </c>
      <c r="I25" s="502">
        <v>3180000</v>
      </c>
      <c r="J25" s="474">
        <v>0.15</v>
      </c>
      <c r="K25" s="462">
        <v>61.983471074380162</v>
      </c>
      <c r="L25" s="483">
        <v>2700000</v>
      </c>
      <c r="M25" s="462">
        <v>350</v>
      </c>
      <c r="N25" s="439"/>
      <c r="O25" s="439"/>
      <c r="P25" s="439"/>
      <c r="Q25" s="439"/>
    </row>
    <row r="26" spans="1:17" ht="16.5" thickTop="1" x14ac:dyDescent="0.25">
      <c r="A26" s="489" t="s">
        <v>761</v>
      </c>
      <c r="B26" s="456">
        <v>30</v>
      </c>
      <c r="C26" s="457">
        <v>60</v>
      </c>
      <c r="D26" s="457">
        <v>30</v>
      </c>
      <c r="E26" s="458">
        <v>4.3E-3</v>
      </c>
      <c r="F26" s="457">
        <v>1</v>
      </c>
      <c r="G26" s="465">
        <v>0.129</v>
      </c>
      <c r="H26" s="457">
        <v>10.803219359369091</v>
      </c>
      <c r="I26" s="504">
        <v>470000</v>
      </c>
      <c r="J26" s="473">
        <v>0.15</v>
      </c>
      <c r="K26" s="467">
        <v>9.1827364554637274</v>
      </c>
      <c r="L26" s="482">
        <v>399999.99999999994</v>
      </c>
      <c r="M26" s="457">
        <v>51.6</v>
      </c>
      <c r="N26" s="439"/>
      <c r="O26" s="439"/>
      <c r="P26" s="439"/>
      <c r="Q26" s="439"/>
    </row>
    <row r="27" spans="1:17" ht="16.5" thickBot="1" x14ac:dyDescent="0.3">
      <c r="A27" s="488" t="s">
        <v>762</v>
      </c>
      <c r="B27" s="461">
        <v>30</v>
      </c>
      <c r="C27" s="462">
        <v>60</v>
      </c>
      <c r="D27" s="462">
        <v>30</v>
      </c>
      <c r="E27" s="463">
        <v>4.3E-3</v>
      </c>
      <c r="F27" s="462">
        <v>1</v>
      </c>
      <c r="G27" s="464">
        <v>0.129</v>
      </c>
      <c r="H27" s="462">
        <v>21.606438718738183</v>
      </c>
      <c r="I27" s="482">
        <v>940000</v>
      </c>
      <c r="J27" s="474">
        <v>0.15</v>
      </c>
      <c r="K27" s="462">
        <v>18.365472910927455</v>
      </c>
      <c r="L27" s="483">
        <v>799999.99999999988</v>
      </c>
      <c r="M27" s="462">
        <v>100</v>
      </c>
      <c r="N27" s="439"/>
      <c r="O27" s="439"/>
      <c r="P27" s="439"/>
      <c r="Q27" s="439"/>
    </row>
    <row r="28" spans="1:17" ht="17.25" thickTop="1" thickBot="1" x14ac:dyDescent="0.3">
      <c r="A28" s="496" t="s">
        <v>697</v>
      </c>
      <c r="B28" s="484">
        <v>0</v>
      </c>
      <c r="C28" s="484">
        <v>71</v>
      </c>
      <c r="D28" s="497">
        <v>71</v>
      </c>
      <c r="E28" s="498">
        <v>5.0000000000000001E-3</v>
      </c>
      <c r="F28" s="497">
        <v>3</v>
      </c>
      <c r="G28" s="499">
        <v>0.11833333333333333</v>
      </c>
      <c r="H28" s="484"/>
      <c r="I28" s="484"/>
      <c r="J28" s="484"/>
      <c r="K28" s="484">
        <v>10</v>
      </c>
      <c r="L28" s="485">
        <v>440000</v>
      </c>
      <c r="M28" s="497">
        <v>51.545999999999999</v>
      </c>
      <c r="N28" s="493"/>
      <c r="O28" s="493"/>
      <c r="P28" s="493"/>
      <c r="Q28" s="493"/>
    </row>
    <row r="29" spans="1:17" ht="16.5" thickTop="1" x14ac:dyDescent="0.25">
      <c r="A29" s="489" t="s">
        <v>737</v>
      </c>
      <c r="B29" s="467">
        <v>1</v>
      </c>
      <c r="C29" s="457">
        <v>40</v>
      </c>
      <c r="D29" s="457">
        <v>39</v>
      </c>
      <c r="E29" s="458">
        <v>4.3E-3</v>
      </c>
      <c r="F29" s="457">
        <v>2</v>
      </c>
      <c r="G29" s="459">
        <v>8.3849999999999994E-2</v>
      </c>
      <c r="H29" s="456">
        <v>50</v>
      </c>
      <c r="I29" s="482">
        <v>2180000</v>
      </c>
      <c r="J29" s="473">
        <v>0.4</v>
      </c>
      <c r="K29" s="456">
        <v>30</v>
      </c>
      <c r="L29" s="482">
        <v>1310000</v>
      </c>
      <c r="M29" s="457">
        <v>70</v>
      </c>
      <c r="N29" s="439"/>
      <c r="O29" s="439"/>
      <c r="P29" s="439"/>
      <c r="Q29" s="439"/>
    </row>
    <row r="30" spans="1:17" ht="16.5" thickBot="1" x14ac:dyDescent="0.3">
      <c r="A30" s="488" t="s">
        <v>763</v>
      </c>
      <c r="B30" s="461">
        <v>40</v>
      </c>
      <c r="C30" s="462">
        <v>57</v>
      </c>
      <c r="D30" s="462">
        <v>17</v>
      </c>
      <c r="E30" s="463">
        <v>4.3E-3</v>
      </c>
      <c r="F30" s="462">
        <v>1</v>
      </c>
      <c r="G30" s="466">
        <v>7.3099999999999998E-2</v>
      </c>
      <c r="H30" s="460">
        <v>6</v>
      </c>
      <c r="I30" s="503">
        <v>260000</v>
      </c>
      <c r="J30" s="474">
        <v>0.2</v>
      </c>
      <c r="K30" s="460">
        <v>4.8000000000000007</v>
      </c>
      <c r="L30" s="483">
        <v>210000</v>
      </c>
      <c r="M30" s="462">
        <v>15.284332800000001</v>
      </c>
      <c r="N30" s="437"/>
      <c r="O30" s="437"/>
      <c r="P30" s="437"/>
      <c r="Q30" s="437"/>
    </row>
    <row r="31" spans="1:17" ht="16.5" thickTop="1" x14ac:dyDescent="0.25">
      <c r="A31" s="437"/>
      <c r="B31" s="437"/>
      <c r="C31" s="437"/>
      <c r="D31" s="437"/>
      <c r="E31" s="437"/>
      <c r="F31" s="437"/>
      <c r="G31" s="437"/>
      <c r="H31" s="437"/>
      <c r="I31" s="505"/>
      <c r="J31" s="437"/>
      <c r="K31" s="437"/>
      <c r="L31" s="437"/>
      <c r="M31" s="437"/>
      <c r="N31" s="437"/>
      <c r="O31" s="437"/>
      <c r="P31" s="437"/>
      <c r="Q31" s="437"/>
    </row>
    <row r="32" spans="1:17" ht="15.75" x14ac:dyDescent="0.25">
      <c r="A32" s="437"/>
      <c r="B32" s="437"/>
      <c r="C32" s="437"/>
      <c r="D32" s="437"/>
      <c r="E32" s="437"/>
      <c r="F32" s="437"/>
      <c r="G32" s="470"/>
      <c r="H32" s="437"/>
      <c r="I32" s="437"/>
      <c r="J32" s="437"/>
      <c r="K32" s="437"/>
      <c r="L32" s="437"/>
      <c r="M32" s="437"/>
      <c r="N32" s="437"/>
      <c r="O32" s="437"/>
      <c r="P32" s="437"/>
      <c r="Q32" s="437"/>
    </row>
    <row r="33" spans="1:17" ht="15.75" x14ac:dyDescent="0.25">
      <c r="A33" s="445" t="s">
        <v>764</v>
      </c>
      <c r="B33" s="437"/>
      <c r="C33" s="437"/>
      <c r="D33" s="437"/>
      <c r="E33" s="437"/>
      <c r="F33" s="437"/>
      <c r="G33" s="437"/>
      <c r="H33" s="437"/>
      <c r="I33" s="437"/>
      <c r="J33" s="437"/>
      <c r="K33" s="437"/>
      <c r="L33" s="437"/>
      <c r="M33" s="437"/>
      <c r="N33" s="437"/>
      <c r="O33" s="437"/>
      <c r="P33" s="437"/>
      <c r="Q33" s="437"/>
    </row>
    <row r="35" spans="1:17" x14ac:dyDescent="0.2">
      <c r="A35" s="500" t="s">
        <v>663</v>
      </c>
    </row>
    <row r="36" spans="1:17" x14ac:dyDescent="0.2">
      <c r="A36" s="501" t="s">
        <v>765</v>
      </c>
    </row>
    <row r="37" spans="1:17" x14ac:dyDescent="0.2">
      <c r="A37" s="501" t="s">
        <v>766</v>
      </c>
    </row>
    <row r="38" spans="1:17" x14ac:dyDescent="0.2">
      <c r="A38" s="501" t="s">
        <v>767</v>
      </c>
    </row>
    <row r="39" spans="1:17" x14ac:dyDescent="0.2">
      <c r="A39" s="501" t="s">
        <v>768</v>
      </c>
    </row>
    <row r="40" spans="1:17" x14ac:dyDescent="0.2">
      <c r="A40" s="501" t="s">
        <v>769</v>
      </c>
    </row>
    <row r="41" spans="1:17" x14ac:dyDescent="0.2">
      <c r="A41" s="501" t="s">
        <v>770</v>
      </c>
    </row>
    <row r="42" spans="1:17" x14ac:dyDescent="0.2">
      <c r="A42" s="501" t="s">
        <v>771</v>
      </c>
    </row>
    <row r="43" spans="1:17" x14ac:dyDescent="0.2">
      <c r="A43" s="501"/>
    </row>
  </sheetData>
  <sheetProtection algorithmName="SHA-512" hashValue="OqqHLgTNNh+0bRJTf+wfRs0yPWMQw0tSY/02o12DZYeMX3wnv5erEkCItr8ra/YFRBirWp5m2XgcVnqmR9odBA==" saltValue="MsHCc7542DD/NsMzuefADg==" spinCount="100000" sheet="1" objects="1" scenarios="1"/>
  <mergeCells count="2">
    <mergeCell ref="B7:C7"/>
    <mergeCell ref="B21:C2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pageSetUpPr fitToPage="1"/>
  </sheetPr>
  <dimension ref="B2:DG189"/>
  <sheetViews>
    <sheetView zoomScale="75" zoomScaleNormal="75" workbookViewId="0">
      <pane xSplit="6" ySplit="3" topLeftCell="G4" activePane="bottomRight" state="frozen"/>
      <selection pane="topRight" activeCell="H1" sqref="H1"/>
      <selection pane="bottomLeft" activeCell="A5" sqref="A5"/>
      <selection pane="bottomRight"/>
    </sheetView>
  </sheetViews>
  <sheetFormatPr defaultColWidth="8.59765625" defaultRowHeight="12" x14ac:dyDescent="0.2"/>
  <cols>
    <col min="1" max="2" width="2.69921875" style="212" customWidth="1"/>
    <col min="3" max="3" width="8.69921875" style="212" customWidth="1"/>
    <col min="4" max="4" width="36.5" style="214" customWidth="1"/>
    <col min="5" max="6" width="8.69921875" style="214" hidden="1" customWidth="1"/>
    <col min="7" max="107" width="1.69921875" style="214" customWidth="1"/>
    <col min="108" max="108" width="2.69921875" style="211" customWidth="1"/>
    <col min="109" max="111" width="8.59765625" style="211"/>
    <col min="112" max="16384" width="8.59765625" style="212"/>
  </cols>
  <sheetData>
    <row r="2" spans="2:107" ht="15" customHeight="1" x14ac:dyDescent="0.2">
      <c r="B2" s="213"/>
      <c r="C2" s="877" t="s">
        <v>305</v>
      </c>
      <c r="D2" s="877"/>
      <c r="E2" s="874" t="s">
        <v>554</v>
      </c>
      <c r="F2" s="875"/>
      <c r="G2" s="874" t="s">
        <v>553</v>
      </c>
      <c r="H2" s="875"/>
      <c r="I2" s="875"/>
      <c r="J2" s="875"/>
      <c r="K2" s="875"/>
      <c r="L2" s="875"/>
      <c r="M2" s="875"/>
      <c r="N2" s="875"/>
      <c r="O2" s="875"/>
      <c r="P2" s="875"/>
      <c r="Q2" s="875"/>
      <c r="R2" s="875"/>
      <c r="S2" s="875"/>
      <c r="T2" s="875"/>
      <c r="U2" s="875"/>
      <c r="V2" s="875"/>
      <c r="W2" s="875"/>
      <c r="X2" s="875"/>
      <c r="Y2" s="875"/>
      <c r="Z2" s="875"/>
      <c r="AA2" s="875"/>
      <c r="AB2" s="875"/>
      <c r="AC2" s="875"/>
      <c r="AD2" s="875"/>
      <c r="AE2" s="875"/>
      <c r="AF2" s="875"/>
      <c r="AG2" s="875"/>
      <c r="AH2" s="875"/>
      <c r="AI2" s="875"/>
      <c r="AJ2" s="875"/>
      <c r="AK2" s="875"/>
      <c r="AL2" s="875"/>
      <c r="AM2" s="875"/>
      <c r="AN2" s="875"/>
      <c r="AO2" s="875"/>
      <c r="AP2" s="875"/>
      <c r="AQ2" s="875"/>
      <c r="AR2" s="875"/>
      <c r="AS2" s="875"/>
      <c r="AT2" s="875"/>
      <c r="AU2" s="875"/>
      <c r="AV2" s="875"/>
      <c r="AW2" s="875"/>
      <c r="AX2" s="875"/>
      <c r="AY2" s="875"/>
      <c r="AZ2" s="875"/>
      <c r="BA2" s="875"/>
      <c r="BB2" s="875"/>
      <c r="BC2" s="875"/>
      <c r="BD2" s="875"/>
      <c r="BE2" s="875"/>
      <c r="BF2" s="875"/>
      <c r="BG2" s="875"/>
      <c r="BH2" s="875"/>
      <c r="BI2" s="875"/>
      <c r="BJ2" s="875"/>
      <c r="BK2" s="875"/>
      <c r="BL2" s="875"/>
      <c r="BM2" s="875"/>
      <c r="BN2" s="875"/>
      <c r="BO2" s="875"/>
      <c r="BP2" s="875"/>
      <c r="BQ2" s="875"/>
      <c r="BR2" s="875"/>
      <c r="BS2" s="875"/>
      <c r="BT2" s="875"/>
      <c r="BU2" s="875"/>
      <c r="BV2" s="875"/>
      <c r="BW2" s="875"/>
      <c r="BX2" s="875"/>
      <c r="BY2" s="875"/>
      <c r="BZ2" s="875"/>
      <c r="CA2" s="875"/>
      <c r="CB2" s="875"/>
      <c r="CC2" s="875"/>
      <c r="CD2" s="875"/>
      <c r="CE2" s="875"/>
      <c r="CF2" s="875"/>
      <c r="CG2" s="875"/>
      <c r="CH2" s="875"/>
      <c r="CI2" s="875"/>
      <c r="CJ2" s="875"/>
      <c r="CK2" s="875"/>
      <c r="CL2" s="875"/>
      <c r="CM2" s="875"/>
      <c r="CN2" s="875"/>
      <c r="CO2" s="875"/>
      <c r="CP2" s="875"/>
      <c r="CQ2" s="875"/>
      <c r="CR2" s="875"/>
      <c r="CS2" s="875"/>
      <c r="CT2" s="875"/>
      <c r="CU2" s="875"/>
      <c r="CV2" s="875"/>
      <c r="CW2" s="875"/>
      <c r="CX2" s="875"/>
      <c r="CY2" s="875"/>
      <c r="CZ2" s="875"/>
      <c r="DA2" s="875"/>
      <c r="DB2" s="875"/>
      <c r="DC2" s="876"/>
    </row>
    <row r="3" spans="2:107" ht="21" x14ac:dyDescent="0.2">
      <c r="B3" s="228"/>
      <c r="C3" s="878"/>
      <c r="D3" s="878"/>
      <c r="E3" s="244" t="s">
        <v>6</v>
      </c>
      <c r="F3" s="248" t="s">
        <v>7</v>
      </c>
      <c r="G3" s="250">
        <v>0</v>
      </c>
      <c r="H3" s="251">
        <f>G3+1</f>
        <v>1</v>
      </c>
      <c r="I3" s="251">
        <f>H3+1</f>
        <v>2</v>
      </c>
      <c r="J3" s="251">
        <f t="shared" ref="J3:AS3" si="0">I3+1</f>
        <v>3</v>
      </c>
      <c r="K3" s="251">
        <f t="shared" si="0"/>
        <v>4</v>
      </c>
      <c r="L3" s="251">
        <f t="shared" si="0"/>
        <v>5</v>
      </c>
      <c r="M3" s="251">
        <f t="shared" si="0"/>
        <v>6</v>
      </c>
      <c r="N3" s="251">
        <f t="shared" si="0"/>
        <v>7</v>
      </c>
      <c r="O3" s="251">
        <f t="shared" si="0"/>
        <v>8</v>
      </c>
      <c r="P3" s="251">
        <f t="shared" si="0"/>
        <v>9</v>
      </c>
      <c r="Q3" s="250">
        <f t="shared" si="0"/>
        <v>10</v>
      </c>
      <c r="R3" s="251">
        <f t="shared" si="0"/>
        <v>11</v>
      </c>
      <c r="S3" s="251">
        <f t="shared" si="0"/>
        <v>12</v>
      </c>
      <c r="T3" s="251">
        <f t="shared" si="0"/>
        <v>13</v>
      </c>
      <c r="U3" s="251">
        <f t="shared" si="0"/>
        <v>14</v>
      </c>
      <c r="V3" s="251">
        <f t="shared" si="0"/>
        <v>15</v>
      </c>
      <c r="W3" s="251">
        <f t="shared" si="0"/>
        <v>16</v>
      </c>
      <c r="X3" s="251">
        <f t="shared" si="0"/>
        <v>17</v>
      </c>
      <c r="Y3" s="251">
        <f t="shared" si="0"/>
        <v>18</v>
      </c>
      <c r="Z3" s="251">
        <f t="shared" si="0"/>
        <v>19</v>
      </c>
      <c r="AA3" s="250">
        <f t="shared" si="0"/>
        <v>20</v>
      </c>
      <c r="AB3" s="251">
        <f t="shared" si="0"/>
        <v>21</v>
      </c>
      <c r="AC3" s="251">
        <f t="shared" si="0"/>
        <v>22</v>
      </c>
      <c r="AD3" s="251">
        <f t="shared" si="0"/>
        <v>23</v>
      </c>
      <c r="AE3" s="251">
        <f t="shared" si="0"/>
        <v>24</v>
      </c>
      <c r="AF3" s="251">
        <f t="shared" si="0"/>
        <v>25</v>
      </c>
      <c r="AG3" s="251">
        <f t="shared" si="0"/>
        <v>26</v>
      </c>
      <c r="AH3" s="251">
        <f t="shared" si="0"/>
        <v>27</v>
      </c>
      <c r="AI3" s="251">
        <f t="shared" si="0"/>
        <v>28</v>
      </c>
      <c r="AJ3" s="251">
        <f t="shared" si="0"/>
        <v>29</v>
      </c>
      <c r="AK3" s="250">
        <f>AJ3+1</f>
        <v>30</v>
      </c>
      <c r="AL3" s="251">
        <f t="shared" si="0"/>
        <v>31</v>
      </c>
      <c r="AM3" s="251">
        <f t="shared" si="0"/>
        <v>32</v>
      </c>
      <c r="AN3" s="251">
        <f t="shared" si="0"/>
        <v>33</v>
      </c>
      <c r="AO3" s="251">
        <f t="shared" si="0"/>
        <v>34</v>
      </c>
      <c r="AP3" s="251">
        <f t="shared" si="0"/>
        <v>35</v>
      </c>
      <c r="AQ3" s="251">
        <f t="shared" si="0"/>
        <v>36</v>
      </c>
      <c r="AR3" s="251">
        <f t="shared" si="0"/>
        <v>37</v>
      </c>
      <c r="AS3" s="251">
        <f t="shared" si="0"/>
        <v>38</v>
      </c>
      <c r="AT3" s="251">
        <f t="shared" ref="AT3:BT3" si="1">AS3+1</f>
        <v>39</v>
      </c>
      <c r="AU3" s="250">
        <f t="shared" si="1"/>
        <v>40</v>
      </c>
      <c r="AV3" s="251">
        <f t="shared" si="1"/>
        <v>41</v>
      </c>
      <c r="AW3" s="251">
        <f t="shared" si="1"/>
        <v>42</v>
      </c>
      <c r="AX3" s="251">
        <f t="shared" si="1"/>
        <v>43</v>
      </c>
      <c r="AY3" s="251">
        <f t="shared" si="1"/>
        <v>44</v>
      </c>
      <c r="AZ3" s="251">
        <f t="shared" si="1"/>
        <v>45</v>
      </c>
      <c r="BA3" s="251">
        <f t="shared" si="1"/>
        <v>46</v>
      </c>
      <c r="BB3" s="251">
        <f t="shared" si="1"/>
        <v>47</v>
      </c>
      <c r="BC3" s="251">
        <f t="shared" si="1"/>
        <v>48</v>
      </c>
      <c r="BD3" s="251">
        <f t="shared" si="1"/>
        <v>49</v>
      </c>
      <c r="BE3" s="250">
        <f t="shared" si="1"/>
        <v>50</v>
      </c>
      <c r="BF3" s="251">
        <f t="shared" si="1"/>
        <v>51</v>
      </c>
      <c r="BG3" s="251">
        <f t="shared" si="1"/>
        <v>52</v>
      </c>
      <c r="BH3" s="251">
        <f t="shared" si="1"/>
        <v>53</v>
      </c>
      <c r="BI3" s="251">
        <f t="shared" si="1"/>
        <v>54</v>
      </c>
      <c r="BJ3" s="251">
        <f t="shared" si="1"/>
        <v>55</v>
      </c>
      <c r="BK3" s="251">
        <f t="shared" si="1"/>
        <v>56</v>
      </c>
      <c r="BL3" s="251">
        <f t="shared" si="1"/>
        <v>57</v>
      </c>
      <c r="BM3" s="251">
        <f t="shared" si="1"/>
        <v>58</v>
      </c>
      <c r="BN3" s="251">
        <f t="shared" si="1"/>
        <v>59</v>
      </c>
      <c r="BO3" s="250">
        <f t="shared" si="1"/>
        <v>60</v>
      </c>
      <c r="BP3" s="251">
        <f t="shared" si="1"/>
        <v>61</v>
      </c>
      <c r="BQ3" s="251">
        <f t="shared" si="1"/>
        <v>62</v>
      </c>
      <c r="BR3" s="251">
        <f t="shared" si="1"/>
        <v>63</v>
      </c>
      <c r="BS3" s="251">
        <f t="shared" si="1"/>
        <v>64</v>
      </c>
      <c r="BT3" s="251">
        <f t="shared" si="1"/>
        <v>65</v>
      </c>
      <c r="BU3" s="251">
        <f t="shared" ref="BU3:CI3" si="2">BT3+1</f>
        <v>66</v>
      </c>
      <c r="BV3" s="251">
        <f t="shared" si="2"/>
        <v>67</v>
      </c>
      <c r="BW3" s="251">
        <f t="shared" si="2"/>
        <v>68</v>
      </c>
      <c r="BX3" s="251">
        <f t="shared" si="2"/>
        <v>69</v>
      </c>
      <c r="BY3" s="250">
        <f t="shared" si="2"/>
        <v>70</v>
      </c>
      <c r="BZ3" s="251">
        <f t="shared" si="2"/>
        <v>71</v>
      </c>
      <c r="CA3" s="251">
        <f t="shared" si="2"/>
        <v>72</v>
      </c>
      <c r="CB3" s="251">
        <f t="shared" si="2"/>
        <v>73</v>
      </c>
      <c r="CC3" s="251">
        <f t="shared" si="2"/>
        <v>74</v>
      </c>
      <c r="CD3" s="251">
        <f t="shared" si="2"/>
        <v>75</v>
      </c>
      <c r="CE3" s="251">
        <f t="shared" si="2"/>
        <v>76</v>
      </c>
      <c r="CF3" s="251">
        <f t="shared" si="2"/>
        <v>77</v>
      </c>
      <c r="CG3" s="251">
        <f t="shared" si="2"/>
        <v>78</v>
      </c>
      <c r="CH3" s="251">
        <f t="shared" si="2"/>
        <v>79</v>
      </c>
      <c r="CI3" s="250">
        <f t="shared" si="2"/>
        <v>80</v>
      </c>
      <c r="CJ3" s="251">
        <f t="shared" ref="CJ3:CT3" si="3">CI3+1</f>
        <v>81</v>
      </c>
      <c r="CK3" s="251">
        <f t="shared" si="3"/>
        <v>82</v>
      </c>
      <c r="CL3" s="251">
        <f t="shared" si="3"/>
        <v>83</v>
      </c>
      <c r="CM3" s="251">
        <f t="shared" si="3"/>
        <v>84</v>
      </c>
      <c r="CN3" s="251">
        <f t="shared" si="3"/>
        <v>85</v>
      </c>
      <c r="CO3" s="251">
        <f t="shared" si="3"/>
        <v>86</v>
      </c>
      <c r="CP3" s="251">
        <f t="shared" si="3"/>
        <v>87</v>
      </c>
      <c r="CQ3" s="251">
        <f t="shared" si="3"/>
        <v>88</v>
      </c>
      <c r="CR3" s="251">
        <f t="shared" si="3"/>
        <v>89</v>
      </c>
      <c r="CS3" s="250">
        <f t="shared" si="3"/>
        <v>90</v>
      </c>
      <c r="CT3" s="251">
        <f t="shared" si="3"/>
        <v>91</v>
      </c>
      <c r="CU3" s="251">
        <f t="shared" ref="CU3:DC3" si="4">CT3+1</f>
        <v>92</v>
      </c>
      <c r="CV3" s="251">
        <f t="shared" si="4"/>
        <v>93</v>
      </c>
      <c r="CW3" s="251">
        <f t="shared" si="4"/>
        <v>94</v>
      </c>
      <c r="CX3" s="251">
        <f t="shared" si="4"/>
        <v>95</v>
      </c>
      <c r="CY3" s="251">
        <f t="shared" si="4"/>
        <v>96</v>
      </c>
      <c r="CZ3" s="251">
        <f t="shared" si="4"/>
        <v>97</v>
      </c>
      <c r="DA3" s="251">
        <f t="shared" si="4"/>
        <v>98</v>
      </c>
      <c r="DB3" s="251">
        <f t="shared" si="4"/>
        <v>99</v>
      </c>
      <c r="DC3" s="252">
        <f t="shared" si="4"/>
        <v>100</v>
      </c>
    </row>
    <row r="4" spans="2:107" x14ac:dyDescent="0.2">
      <c r="B4" s="205"/>
      <c r="E4" s="245"/>
      <c r="F4" s="246"/>
      <c r="G4" s="215"/>
      <c r="Q4" s="215"/>
      <c r="R4" s="216"/>
      <c r="S4" s="216"/>
      <c r="AA4" s="215"/>
      <c r="AK4" s="215"/>
      <c r="AU4" s="215"/>
      <c r="BE4" s="215"/>
      <c r="BF4" s="216"/>
      <c r="BO4" s="215"/>
      <c r="BP4" s="216"/>
      <c r="BY4" s="215"/>
      <c r="BZ4" s="216"/>
      <c r="CI4" s="215"/>
      <c r="CJ4" s="216"/>
      <c r="CS4" s="215"/>
      <c r="CT4" s="216"/>
      <c r="DC4" s="217"/>
    </row>
    <row r="5" spans="2:107" x14ac:dyDescent="0.2">
      <c r="B5" s="205"/>
      <c r="C5" s="882" t="str">
        <f>'Technologies Matrix'!A7</f>
        <v>Green Infrastructure</v>
      </c>
      <c r="D5" s="206" t="str">
        <f>'Technologies Matrix'!B7</f>
        <v>Constructed Wetlands - Surface Flow</v>
      </c>
      <c r="E5" s="247">
        <f>'Technologies Matrix'!S7</f>
        <v>69.523809523809533</v>
      </c>
      <c r="F5" s="207">
        <f>'Technologies Matrix'!T7</f>
        <v>92.38095238095238</v>
      </c>
      <c r="G5" s="209" t="str">
        <f t="shared" ref="G5:BR11" si="5">IF(AND(G$3&gt;=$E5,G$3&lt;=$F5),"T","F")</f>
        <v>F</v>
      </c>
      <c r="H5" s="208" t="str">
        <f t="shared" si="5"/>
        <v>F</v>
      </c>
      <c r="I5" s="208" t="str">
        <f t="shared" si="5"/>
        <v>F</v>
      </c>
      <c r="J5" s="208" t="str">
        <f t="shared" si="5"/>
        <v>F</v>
      </c>
      <c r="K5" s="208" t="str">
        <f t="shared" si="5"/>
        <v>F</v>
      </c>
      <c r="L5" s="208" t="str">
        <f t="shared" si="5"/>
        <v>F</v>
      </c>
      <c r="M5" s="208" t="str">
        <f t="shared" si="5"/>
        <v>F</v>
      </c>
      <c r="N5" s="208" t="str">
        <f t="shared" si="5"/>
        <v>F</v>
      </c>
      <c r="O5" s="208" t="str">
        <f t="shared" si="5"/>
        <v>F</v>
      </c>
      <c r="P5" s="208" t="str">
        <f t="shared" si="5"/>
        <v>F</v>
      </c>
      <c r="Q5" s="209" t="str">
        <f t="shared" ref="Q5:Q11" si="6">IF(AND(Q$3&gt;=$E5,Q$3&lt;=$F5),"T","F")</f>
        <v>F</v>
      </c>
      <c r="R5" s="208" t="str">
        <f t="shared" si="5"/>
        <v>F</v>
      </c>
      <c r="S5" s="208" t="str">
        <f t="shared" si="5"/>
        <v>F</v>
      </c>
      <c r="T5" s="208" t="str">
        <f t="shared" si="5"/>
        <v>F</v>
      </c>
      <c r="U5" s="208" t="str">
        <f t="shared" si="5"/>
        <v>F</v>
      </c>
      <c r="V5" s="208" t="str">
        <f t="shared" si="5"/>
        <v>F</v>
      </c>
      <c r="W5" s="208" t="str">
        <f t="shared" si="5"/>
        <v>F</v>
      </c>
      <c r="X5" s="208" t="str">
        <f t="shared" si="5"/>
        <v>F</v>
      </c>
      <c r="Y5" s="208" t="str">
        <f t="shared" si="5"/>
        <v>F</v>
      </c>
      <c r="Z5" s="208" t="str">
        <f t="shared" si="5"/>
        <v>F</v>
      </c>
      <c r="AA5" s="209" t="str">
        <f t="shared" si="5"/>
        <v>F</v>
      </c>
      <c r="AB5" s="208" t="str">
        <f t="shared" si="5"/>
        <v>F</v>
      </c>
      <c r="AC5" s="208" t="str">
        <f t="shared" si="5"/>
        <v>F</v>
      </c>
      <c r="AD5" s="208" t="str">
        <f t="shared" si="5"/>
        <v>F</v>
      </c>
      <c r="AE5" s="208" t="str">
        <f t="shared" si="5"/>
        <v>F</v>
      </c>
      <c r="AF5" s="208" t="str">
        <f t="shared" si="5"/>
        <v>F</v>
      </c>
      <c r="AG5" s="208" t="str">
        <f t="shared" si="5"/>
        <v>F</v>
      </c>
      <c r="AH5" s="208" t="str">
        <f t="shared" si="5"/>
        <v>F</v>
      </c>
      <c r="AI5" s="208" t="str">
        <f t="shared" si="5"/>
        <v>F</v>
      </c>
      <c r="AJ5" s="208" t="str">
        <f t="shared" si="5"/>
        <v>F</v>
      </c>
      <c r="AK5" s="209" t="str">
        <f t="shared" si="5"/>
        <v>F</v>
      </c>
      <c r="AL5" s="208" t="str">
        <f t="shared" si="5"/>
        <v>F</v>
      </c>
      <c r="AM5" s="208" t="str">
        <f t="shared" si="5"/>
        <v>F</v>
      </c>
      <c r="AN5" s="208" t="str">
        <f t="shared" si="5"/>
        <v>F</v>
      </c>
      <c r="AO5" s="208" t="str">
        <f t="shared" si="5"/>
        <v>F</v>
      </c>
      <c r="AP5" s="208" t="str">
        <f t="shared" si="5"/>
        <v>F</v>
      </c>
      <c r="AQ5" s="208" t="str">
        <f t="shared" si="5"/>
        <v>F</v>
      </c>
      <c r="AR5" s="208" t="str">
        <f t="shared" si="5"/>
        <v>F</v>
      </c>
      <c r="AS5" s="208" t="str">
        <f t="shared" si="5"/>
        <v>F</v>
      </c>
      <c r="AT5" s="208" t="str">
        <f t="shared" si="5"/>
        <v>F</v>
      </c>
      <c r="AU5" s="209" t="str">
        <f t="shared" si="5"/>
        <v>F</v>
      </c>
      <c r="AV5" s="208" t="str">
        <f t="shared" si="5"/>
        <v>F</v>
      </c>
      <c r="AW5" s="208" t="str">
        <f t="shared" si="5"/>
        <v>F</v>
      </c>
      <c r="AX5" s="208" t="str">
        <f t="shared" si="5"/>
        <v>F</v>
      </c>
      <c r="AY5" s="208" t="str">
        <f t="shared" si="5"/>
        <v>F</v>
      </c>
      <c r="AZ5" s="208" t="str">
        <f t="shared" si="5"/>
        <v>F</v>
      </c>
      <c r="BA5" s="208" t="str">
        <f t="shared" si="5"/>
        <v>F</v>
      </c>
      <c r="BB5" s="208" t="str">
        <f t="shared" si="5"/>
        <v>F</v>
      </c>
      <c r="BC5" s="208" t="str">
        <f t="shared" si="5"/>
        <v>F</v>
      </c>
      <c r="BD5" s="208" t="str">
        <f t="shared" si="5"/>
        <v>F</v>
      </c>
      <c r="BE5" s="209" t="str">
        <f t="shared" si="5"/>
        <v>F</v>
      </c>
      <c r="BF5" s="208" t="str">
        <f t="shared" si="5"/>
        <v>F</v>
      </c>
      <c r="BG5" s="208" t="str">
        <f t="shared" si="5"/>
        <v>F</v>
      </c>
      <c r="BH5" s="208" t="str">
        <f t="shared" si="5"/>
        <v>F</v>
      </c>
      <c r="BI5" s="208" t="str">
        <f t="shared" si="5"/>
        <v>F</v>
      </c>
      <c r="BJ5" s="208" t="str">
        <f t="shared" si="5"/>
        <v>F</v>
      </c>
      <c r="BK5" s="208" t="str">
        <f t="shared" si="5"/>
        <v>F</v>
      </c>
      <c r="BL5" s="208" t="str">
        <f t="shared" si="5"/>
        <v>F</v>
      </c>
      <c r="BM5" s="208" t="str">
        <f t="shared" si="5"/>
        <v>F</v>
      </c>
      <c r="BN5" s="208" t="str">
        <f t="shared" si="5"/>
        <v>F</v>
      </c>
      <c r="BO5" s="209" t="str">
        <f t="shared" si="5"/>
        <v>F</v>
      </c>
      <c r="BP5" s="208" t="str">
        <f t="shared" si="5"/>
        <v>F</v>
      </c>
      <c r="BQ5" s="208" t="str">
        <f t="shared" si="5"/>
        <v>F</v>
      </c>
      <c r="BR5" s="208" t="str">
        <f t="shared" si="5"/>
        <v>F</v>
      </c>
      <c r="BS5" s="208" t="str">
        <f t="shared" ref="BS5:DC17" si="7">IF(AND(BS$3&gt;=$E5,BS$3&lt;=$F5),"T","F")</f>
        <v>F</v>
      </c>
      <c r="BT5" s="208" t="str">
        <f t="shared" si="7"/>
        <v>F</v>
      </c>
      <c r="BU5" s="208" t="str">
        <f t="shared" si="7"/>
        <v>F</v>
      </c>
      <c r="BV5" s="208" t="str">
        <f t="shared" si="7"/>
        <v>F</v>
      </c>
      <c r="BW5" s="208" t="str">
        <f t="shared" si="7"/>
        <v>F</v>
      </c>
      <c r="BX5" s="208" t="str">
        <f t="shared" si="7"/>
        <v>F</v>
      </c>
      <c r="BY5" s="209" t="str">
        <f t="shared" si="7"/>
        <v>T</v>
      </c>
      <c r="BZ5" s="208" t="str">
        <f t="shared" si="7"/>
        <v>T</v>
      </c>
      <c r="CA5" s="208" t="str">
        <f t="shared" si="7"/>
        <v>T</v>
      </c>
      <c r="CB5" s="208" t="str">
        <f t="shared" si="7"/>
        <v>T</v>
      </c>
      <c r="CC5" s="208" t="str">
        <f t="shared" si="7"/>
        <v>T</v>
      </c>
      <c r="CD5" s="208" t="str">
        <f t="shared" si="7"/>
        <v>T</v>
      </c>
      <c r="CE5" s="208" t="str">
        <f t="shared" si="7"/>
        <v>T</v>
      </c>
      <c r="CF5" s="208" t="str">
        <f t="shared" si="7"/>
        <v>T</v>
      </c>
      <c r="CG5" s="208" t="str">
        <f t="shared" si="7"/>
        <v>T</v>
      </c>
      <c r="CH5" s="208" t="str">
        <f t="shared" si="7"/>
        <v>T</v>
      </c>
      <c r="CI5" s="219" t="str">
        <f t="shared" si="7"/>
        <v>T</v>
      </c>
      <c r="CJ5" s="218" t="str">
        <f t="shared" si="7"/>
        <v>T</v>
      </c>
      <c r="CK5" s="218" t="str">
        <f t="shared" si="7"/>
        <v>T</v>
      </c>
      <c r="CL5" s="218" t="str">
        <f t="shared" si="7"/>
        <v>T</v>
      </c>
      <c r="CM5" s="218" t="str">
        <f t="shared" si="7"/>
        <v>T</v>
      </c>
      <c r="CN5" s="218" t="str">
        <f t="shared" si="7"/>
        <v>T</v>
      </c>
      <c r="CO5" s="218" t="str">
        <f t="shared" si="7"/>
        <v>T</v>
      </c>
      <c r="CP5" s="218" t="str">
        <f t="shared" si="7"/>
        <v>T</v>
      </c>
      <c r="CQ5" s="218" t="str">
        <f t="shared" si="7"/>
        <v>T</v>
      </c>
      <c r="CR5" s="218" t="str">
        <f t="shared" si="7"/>
        <v>T</v>
      </c>
      <c r="CS5" s="219" t="str">
        <f t="shared" si="7"/>
        <v>T</v>
      </c>
      <c r="CT5" s="218" t="str">
        <f t="shared" si="7"/>
        <v>T</v>
      </c>
      <c r="CU5" s="218" t="str">
        <f t="shared" si="7"/>
        <v>T</v>
      </c>
      <c r="CV5" s="218" t="str">
        <f t="shared" si="7"/>
        <v>F</v>
      </c>
      <c r="CW5" s="218" t="str">
        <f t="shared" si="7"/>
        <v>F</v>
      </c>
      <c r="CX5" s="218" t="str">
        <f t="shared" si="7"/>
        <v>F</v>
      </c>
      <c r="CY5" s="208" t="str">
        <f t="shared" si="7"/>
        <v>F</v>
      </c>
      <c r="CZ5" s="208" t="str">
        <f t="shared" si="7"/>
        <v>F</v>
      </c>
      <c r="DA5" s="208" t="str">
        <f t="shared" si="7"/>
        <v>F</v>
      </c>
      <c r="DB5" s="208" t="str">
        <f t="shared" si="7"/>
        <v>F</v>
      </c>
      <c r="DC5" s="210" t="str">
        <f t="shared" si="7"/>
        <v>F</v>
      </c>
    </row>
    <row r="6" spans="2:107" x14ac:dyDescent="0.2">
      <c r="B6" s="205"/>
      <c r="C6" s="882"/>
      <c r="D6" s="206"/>
      <c r="E6" s="247"/>
      <c r="F6" s="207"/>
      <c r="G6" s="220"/>
      <c r="H6" s="221"/>
      <c r="I6" s="221"/>
      <c r="J6" s="221"/>
      <c r="K6" s="221"/>
      <c r="L6" s="221"/>
      <c r="M6" s="221"/>
      <c r="N6" s="221"/>
      <c r="O6" s="221"/>
      <c r="P6" s="221"/>
      <c r="Q6" s="222"/>
      <c r="R6" s="221"/>
      <c r="S6" s="221"/>
      <c r="T6" s="221"/>
      <c r="U6" s="221"/>
      <c r="V6" s="221"/>
      <c r="W6" s="221"/>
      <c r="X6" s="221"/>
      <c r="Y6" s="221"/>
      <c r="Z6" s="221"/>
      <c r="AA6" s="222"/>
      <c r="AB6" s="221"/>
      <c r="AC6" s="221"/>
      <c r="AD6" s="221"/>
      <c r="AE6" s="221"/>
      <c r="AF6" s="221"/>
      <c r="AG6" s="221"/>
      <c r="AH6" s="221"/>
      <c r="AI6" s="221"/>
      <c r="AJ6" s="221"/>
      <c r="AK6" s="222"/>
      <c r="AL6" s="221"/>
      <c r="AM6" s="221"/>
      <c r="AN6" s="221"/>
      <c r="AO6" s="221"/>
      <c r="AP6" s="221"/>
      <c r="AQ6" s="221"/>
      <c r="AR6" s="221"/>
      <c r="AS6" s="221"/>
      <c r="AT6" s="221"/>
      <c r="AU6" s="222"/>
      <c r="AV6" s="221"/>
      <c r="AW6" s="221"/>
      <c r="AX6" s="221"/>
      <c r="AY6" s="221"/>
      <c r="AZ6" s="221"/>
      <c r="BA6" s="221"/>
      <c r="BB6" s="221"/>
      <c r="BC6" s="221"/>
      <c r="BD6" s="221"/>
      <c r="BE6" s="222"/>
      <c r="BF6" s="221"/>
      <c r="BG6" s="221"/>
      <c r="BH6" s="221"/>
      <c r="BI6" s="221"/>
      <c r="BJ6" s="221"/>
      <c r="BK6" s="221"/>
      <c r="BL6" s="221"/>
      <c r="BM6" s="221"/>
      <c r="BN6" s="221"/>
      <c r="BO6" s="222"/>
      <c r="BP6" s="221"/>
      <c r="BQ6" s="221"/>
      <c r="BR6" s="221"/>
      <c r="BS6" s="221"/>
      <c r="BT6" s="221"/>
      <c r="BU6" s="221"/>
      <c r="BV6" s="221"/>
      <c r="BW6" s="221"/>
      <c r="BX6" s="221"/>
      <c r="BY6" s="222"/>
      <c r="BZ6" s="221"/>
      <c r="CA6" s="221"/>
      <c r="CB6" s="221"/>
      <c r="CC6" s="221"/>
      <c r="CD6" s="221"/>
      <c r="CE6" s="221"/>
      <c r="CF6" s="221"/>
      <c r="CG6" s="221"/>
      <c r="CH6" s="221"/>
      <c r="CI6" s="222"/>
      <c r="CJ6" s="221"/>
      <c r="CK6" s="221"/>
      <c r="CL6" s="221"/>
      <c r="CM6" s="221"/>
      <c r="CN6" s="221"/>
      <c r="CO6" s="221"/>
      <c r="CP6" s="221"/>
      <c r="CQ6" s="221"/>
      <c r="CR6" s="221"/>
      <c r="CS6" s="222"/>
      <c r="CT6" s="221"/>
      <c r="CU6" s="221"/>
      <c r="CV6" s="221"/>
      <c r="CW6" s="221"/>
      <c r="CX6" s="221"/>
      <c r="CY6" s="221"/>
      <c r="CZ6" s="221"/>
      <c r="DA6" s="221"/>
      <c r="DB6" s="221"/>
      <c r="DC6" s="223"/>
    </row>
    <row r="7" spans="2:107" x14ac:dyDescent="0.2">
      <c r="B7" s="205"/>
      <c r="C7" s="882"/>
      <c r="D7" s="206" t="str">
        <f>'Technologies Matrix'!B8</f>
        <v>Constructed Wetlands - Subsurface Flow</v>
      </c>
      <c r="E7" s="247">
        <f>'Technologies Matrix'!S8</f>
        <v>69.523809523809533</v>
      </c>
      <c r="F7" s="207">
        <f>'Technologies Matrix'!T8</f>
        <v>92.38095238095238</v>
      </c>
      <c r="G7" s="209" t="str">
        <f t="shared" si="5"/>
        <v>F</v>
      </c>
      <c r="H7" s="208" t="str">
        <f t="shared" si="5"/>
        <v>F</v>
      </c>
      <c r="I7" s="208" t="str">
        <f t="shared" si="5"/>
        <v>F</v>
      </c>
      <c r="J7" s="208" t="str">
        <f t="shared" si="5"/>
        <v>F</v>
      </c>
      <c r="K7" s="208" t="str">
        <f t="shared" si="5"/>
        <v>F</v>
      </c>
      <c r="L7" s="208" t="str">
        <f t="shared" si="5"/>
        <v>F</v>
      </c>
      <c r="M7" s="208" t="str">
        <f t="shared" si="5"/>
        <v>F</v>
      </c>
      <c r="N7" s="208" t="str">
        <f t="shared" si="5"/>
        <v>F</v>
      </c>
      <c r="O7" s="208" t="str">
        <f t="shared" si="5"/>
        <v>F</v>
      </c>
      <c r="P7" s="208" t="str">
        <f t="shared" si="5"/>
        <v>F</v>
      </c>
      <c r="Q7" s="209" t="str">
        <f t="shared" si="6"/>
        <v>F</v>
      </c>
      <c r="R7" s="208" t="str">
        <f t="shared" si="5"/>
        <v>F</v>
      </c>
      <c r="S7" s="208" t="str">
        <f t="shared" si="5"/>
        <v>F</v>
      </c>
      <c r="T7" s="208" t="str">
        <f t="shared" si="5"/>
        <v>F</v>
      </c>
      <c r="U7" s="208" t="str">
        <f t="shared" si="5"/>
        <v>F</v>
      </c>
      <c r="V7" s="208" t="str">
        <f t="shared" si="5"/>
        <v>F</v>
      </c>
      <c r="W7" s="208" t="str">
        <f t="shared" si="5"/>
        <v>F</v>
      </c>
      <c r="X7" s="208" t="str">
        <f t="shared" si="5"/>
        <v>F</v>
      </c>
      <c r="Y7" s="208" t="str">
        <f t="shared" si="5"/>
        <v>F</v>
      </c>
      <c r="Z7" s="208" t="str">
        <f t="shared" si="5"/>
        <v>F</v>
      </c>
      <c r="AA7" s="209" t="str">
        <f t="shared" si="5"/>
        <v>F</v>
      </c>
      <c r="AB7" s="208" t="str">
        <f t="shared" si="5"/>
        <v>F</v>
      </c>
      <c r="AC7" s="208" t="str">
        <f t="shared" si="5"/>
        <v>F</v>
      </c>
      <c r="AD7" s="208" t="str">
        <f t="shared" si="5"/>
        <v>F</v>
      </c>
      <c r="AE7" s="208" t="str">
        <f t="shared" si="5"/>
        <v>F</v>
      </c>
      <c r="AF7" s="208" t="str">
        <f t="shared" si="5"/>
        <v>F</v>
      </c>
      <c r="AG7" s="208" t="str">
        <f t="shared" si="5"/>
        <v>F</v>
      </c>
      <c r="AH7" s="208" t="str">
        <f t="shared" si="5"/>
        <v>F</v>
      </c>
      <c r="AI7" s="208" t="str">
        <f t="shared" si="5"/>
        <v>F</v>
      </c>
      <c r="AJ7" s="208" t="str">
        <f t="shared" si="5"/>
        <v>F</v>
      </c>
      <c r="AK7" s="209" t="str">
        <f t="shared" si="5"/>
        <v>F</v>
      </c>
      <c r="AL7" s="208" t="str">
        <f t="shared" si="5"/>
        <v>F</v>
      </c>
      <c r="AM7" s="208" t="str">
        <f t="shared" si="5"/>
        <v>F</v>
      </c>
      <c r="AN7" s="208" t="str">
        <f t="shared" si="5"/>
        <v>F</v>
      </c>
      <c r="AO7" s="208" t="str">
        <f t="shared" si="5"/>
        <v>F</v>
      </c>
      <c r="AP7" s="208" t="str">
        <f t="shared" si="5"/>
        <v>F</v>
      </c>
      <c r="AQ7" s="208" t="str">
        <f t="shared" si="5"/>
        <v>F</v>
      </c>
      <c r="AR7" s="208" t="str">
        <f t="shared" si="5"/>
        <v>F</v>
      </c>
      <c r="AS7" s="208" t="str">
        <f t="shared" si="5"/>
        <v>F</v>
      </c>
      <c r="AT7" s="208" t="str">
        <f t="shared" si="5"/>
        <v>F</v>
      </c>
      <c r="AU7" s="209" t="str">
        <f t="shared" si="5"/>
        <v>F</v>
      </c>
      <c r="AV7" s="208" t="str">
        <f t="shared" si="5"/>
        <v>F</v>
      </c>
      <c r="AW7" s="208" t="str">
        <f t="shared" si="5"/>
        <v>F</v>
      </c>
      <c r="AX7" s="208" t="str">
        <f t="shared" si="5"/>
        <v>F</v>
      </c>
      <c r="AY7" s="208" t="str">
        <f t="shared" si="5"/>
        <v>F</v>
      </c>
      <c r="AZ7" s="208" t="str">
        <f t="shared" si="5"/>
        <v>F</v>
      </c>
      <c r="BA7" s="208" t="str">
        <f t="shared" si="5"/>
        <v>F</v>
      </c>
      <c r="BB7" s="208" t="str">
        <f t="shared" si="5"/>
        <v>F</v>
      </c>
      <c r="BC7" s="208" t="str">
        <f t="shared" si="5"/>
        <v>F</v>
      </c>
      <c r="BD7" s="208" t="str">
        <f t="shared" si="5"/>
        <v>F</v>
      </c>
      <c r="BE7" s="209" t="str">
        <f t="shared" si="5"/>
        <v>F</v>
      </c>
      <c r="BF7" s="208" t="str">
        <f t="shared" si="5"/>
        <v>F</v>
      </c>
      <c r="BG7" s="208" t="str">
        <f t="shared" si="5"/>
        <v>F</v>
      </c>
      <c r="BH7" s="208" t="str">
        <f t="shared" si="5"/>
        <v>F</v>
      </c>
      <c r="BI7" s="208" t="str">
        <f t="shared" si="5"/>
        <v>F</v>
      </c>
      <c r="BJ7" s="208" t="str">
        <f t="shared" si="5"/>
        <v>F</v>
      </c>
      <c r="BK7" s="208" t="str">
        <f t="shared" si="5"/>
        <v>F</v>
      </c>
      <c r="BL7" s="208" t="str">
        <f t="shared" si="5"/>
        <v>F</v>
      </c>
      <c r="BM7" s="208" t="str">
        <f t="shared" si="5"/>
        <v>F</v>
      </c>
      <c r="BN7" s="208" t="str">
        <f t="shared" si="5"/>
        <v>F</v>
      </c>
      <c r="BO7" s="209" t="str">
        <f t="shared" si="5"/>
        <v>F</v>
      </c>
      <c r="BP7" s="208" t="str">
        <f t="shared" si="5"/>
        <v>F</v>
      </c>
      <c r="BQ7" s="208" t="str">
        <f t="shared" si="5"/>
        <v>F</v>
      </c>
      <c r="BR7" s="208" t="str">
        <f t="shared" si="5"/>
        <v>F</v>
      </c>
      <c r="BS7" s="208" t="str">
        <f t="shared" si="7"/>
        <v>F</v>
      </c>
      <c r="BT7" s="208" t="str">
        <f t="shared" si="7"/>
        <v>F</v>
      </c>
      <c r="BU7" s="208" t="str">
        <f t="shared" si="7"/>
        <v>F</v>
      </c>
      <c r="BV7" s="208" t="str">
        <f t="shared" si="7"/>
        <v>F</v>
      </c>
      <c r="BW7" s="208" t="str">
        <f t="shared" si="7"/>
        <v>F</v>
      </c>
      <c r="BX7" s="208" t="str">
        <f t="shared" si="7"/>
        <v>F</v>
      </c>
      <c r="BY7" s="209" t="str">
        <f t="shared" si="7"/>
        <v>T</v>
      </c>
      <c r="BZ7" s="208" t="str">
        <f t="shared" si="7"/>
        <v>T</v>
      </c>
      <c r="CA7" s="208" t="str">
        <f t="shared" si="7"/>
        <v>T</v>
      </c>
      <c r="CB7" s="208" t="str">
        <f t="shared" si="7"/>
        <v>T</v>
      </c>
      <c r="CC7" s="208" t="str">
        <f t="shared" si="7"/>
        <v>T</v>
      </c>
      <c r="CD7" s="208" t="str">
        <f t="shared" si="7"/>
        <v>T</v>
      </c>
      <c r="CE7" s="208" t="str">
        <f t="shared" si="7"/>
        <v>T</v>
      </c>
      <c r="CF7" s="208" t="str">
        <f t="shared" si="7"/>
        <v>T</v>
      </c>
      <c r="CG7" s="208" t="str">
        <f t="shared" si="7"/>
        <v>T</v>
      </c>
      <c r="CH7" s="208" t="str">
        <f t="shared" si="7"/>
        <v>T</v>
      </c>
      <c r="CI7" s="225" t="str">
        <f t="shared" si="7"/>
        <v>T</v>
      </c>
      <c r="CJ7" s="224" t="str">
        <f t="shared" si="7"/>
        <v>T</v>
      </c>
      <c r="CK7" s="224" t="str">
        <f t="shared" si="7"/>
        <v>T</v>
      </c>
      <c r="CL7" s="224" t="str">
        <f t="shared" si="7"/>
        <v>T</v>
      </c>
      <c r="CM7" s="224" t="str">
        <f t="shared" si="7"/>
        <v>T</v>
      </c>
      <c r="CN7" s="224" t="str">
        <f t="shared" si="7"/>
        <v>T</v>
      </c>
      <c r="CO7" s="224" t="str">
        <f t="shared" si="7"/>
        <v>T</v>
      </c>
      <c r="CP7" s="224" t="str">
        <f t="shared" si="7"/>
        <v>T</v>
      </c>
      <c r="CQ7" s="224" t="str">
        <f t="shared" si="7"/>
        <v>T</v>
      </c>
      <c r="CR7" s="224" t="str">
        <f t="shared" si="7"/>
        <v>T</v>
      </c>
      <c r="CS7" s="225" t="str">
        <f t="shared" si="7"/>
        <v>T</v>
      </c>
      <c r="CT7" s="224" t="str">
        <f t="shared" si="7"/>
        <v>T</v>
      </c>
      <c r="CU7" s="224" t="str">
        <f t="shared" si="7"/>
        <v>T</v>
      </c>
      <c r="CV7" s="224" t="str">
        <f t="shared" si="7"/>
        <v>F</v>
      </c>
      <c r="CW7" s="224" t="str">
        <f t="shared" si="7"/>
        <v>F</v>
      </c>
      <c r="CX7" s="224" t="str">
        <f t="shared" si="7"/>
        <v>F</v>
      </c>
      <c r="CY7" s="208" t="str">
        <f t="shared" si="7"/>
        <v>F</v>
      </c>
      <c r="CZ7" s="208" t="str">
        <f t="shared" si="7"/>
        <v>F</v>
      </c>
      <c r="DA7" s="208" t="str">
        <f t="shared" si="7"/>
        <v>F</v>
      </c>
      <c r="DB7" s="208" t="str">
        <f t="shared" si="7"/>
        <v>F</v>
      </c>
      <c r="DC7" s="210" t="str">
        <f t="shared" si="7"/>
        <v>F</v>
      </c>
    </row>
    <row r="8" spans="2:107" x14ac:dyDescent="0.2">
      <c r="B8" s="205"/>
      <c r="C8" s="882"/>
      <c r="D8" s="206"/>
      <c r="E8" s="247"/>
      <c r="F8" s="207"/>
      <c r="G8" s="220"/>
      <c r="H8" s="221"/>
      <c r="I8" s="221"/>
      <c r="J8" s="221"/>
      <c r="K8" s="221"/>
      <c r="L8" s="221"/>
      <c r="M8" s="221"/>
      <c r="N8" s="221"/>
      <c r="O8" s="221"/>
      <c r="P8" s="221"/>
      <c r="Q8" s="222"/>
      <c r="R8" s="221"/>
      <c r="S8" s="221"/>
      <c r="T8" s="221"/>
      <c r="U8" s="221"/>
      <c r="V8" s="221"/>
      <c r="W8" s="221"/>
      <c r="X8" s="221"/>
      <c r="Y8" s="221"/>
      <c r="Z8" s="221"/>
      <c r="AA8" s="222"/>
      <c r="AB8" s="221"/>
      <c r="AC8" s="221"/>
      <c r="AD8" s="221"/>
      <c r="AE8" s="221"/>
      <c r="AF8" s="221"/>
      <c r="AG8" s="221"/>
      <c r="AH8" s="221"/>
      <c r="AI8" s="221"/>
      <c r="AJ8" s="221"/>
      <c r="AK8" s="222"/>
      <c r="AL8" s="221"/>
      <c r="AM8" s="221"/>
      <c r="AN8" s="221"/>
      <c r="AO8" s="221"/>
      <c r="AP8" s="221"/>
      <c r="AQ8" s="221"/>
      <c r="AR8" s="221"/>
      <c r="AS8" s="221"/>
      <c r="AT8" s="221"/>
      <c r="AU8" s="222"/>
      <c r="AV8" s="221"/>
      <c r="AW8" s="221"/>
      <c r="AX8" s="221"/>
      <c r="AY8" s="221"/>
      <c r="AZ8" s="221"/>
      <c r="BA8" s="221"/>
      <c r="BB8" s="221"/>
      <c r="BC8" s="221"/>
      <c r="BD8" s="221"/>
      <c r="BE8" s="222"/>
      <c r="BF8" s="221"/>
      <c r="BG8" s="221"/>
      <c r="BH8" s="221"/>
      <c r="BI8" s="221"/>
      <c r="BJ8" s="221"/>
      <c r="BK8" s="221"/>
      <c r="BL8" s="221"/>
      <c r="BM8" s="221"/>
      <c r="BN8" s="221"/>
      <c r="BO8" s="222"/>
      <c r="BP8" s="221"/>
      <c r="BQ8" s="221"/>
      <c r="BR8" s="221"/>
      <c r="BS8" s="221"/>
      <c r="BT8" s="221"/>
      <c r="BU8" s="221"/>
      <c r="BV8" s="221"/>
      <c r="BW8" s="221"/>
      <c r="BX8" s="221"/>
      <c r="BY8" s="222"/>
      <c r="BZ8" s="221"/>
      <c r="CA8" s="221"/>
      <c r="CB8" s="221"/>
      <c r="CC8" s="221"/>
      <c r="CD8" s="221"/>
      <c r="CE8" s="221"/>
      <c r="CF8" s="221"/>
      <c r="CG8" s="221"/>
      <c r="CH8" s="221"/>
      <c r="CI8" s="222"/>
      <c r="CJ8" s="221"/>
      <c r="CK8" s="221"/>
      <c r="CL8" s="221"/>
      <c r="CM8" s="221"/>
      <c r="CN8" s="221"/>
      <c r="CO8" s="221"/>
      <c r="CP8" s="221"/>
      <c r="CQ8" s="221"/>
      <c r="CR8" s="221"/>
      <c r="CS8" s="222"/>
      <c r="CT8" s="221"/>
      <c r="CU8" s="221"/>
      <c r="CV8" s="221"/>
      <c r="CW8" s="221"/>
      <c r="CX8" s="221"/>
      <c r="CY8" s="221"/>
      <c r="CZ8" s="221"/>
      <c r="DA8" s="221"/>
      <c r="DB8" s="221"/>
      <c r="DC8" s="223"/>
    </row>
    <row r="9" spans="2:107" x14ac:dyDescent="0.2">
      <c r="B9" s="205"/>
      <c r="C9" s="882"/>
      <c r="D9" s="206" t="str">
        <f>'Technologies Matrix'!B9</f>
        <v>Constructed Wetlands - Groundwater Treatment</v>
      </c>
      <c r="E9" s="247">
        <f>'Technologies Matrix'!S9</f>
        <v>85</v>
      </c>
      <c r="F9" s="207">
        <f>'Technologies Matrix'!T9</f>
        <v>95</v>
      </c>
      <c r="G9" s="209" t="str">
        <f t="shared" si="5"/>
        <v>F</v>
      </c>
      <c r="H9" s="208" t="str">
        <f t="shared" si="5"/>
        <v>F</v>
      </c>
      <c r="I9" s="208" t="str">
        <f t="shared" si="5"/>
        <v>F</v>
      </c>
      <c r="J9" s="208" t="str">
        <f t="shared" si="5"/>
        <v>F</v>
      </c>
      <c r="K9" s="208" t="str">
        <f t="shared" si="5"/>
        <v>F</v>
      </c>
      <c r="L9" s="208" t="str">
        <f t="shared" si="5"/>
        <v>F</v>
      </c>
      <c r="M9" s="208" t="str">
        <f t="shared" si="5"/>
        <v>F</v>
      </c>
      <c r="N9" s="208" t="str">
        <f t="shared" si="5"/>
        <v>F</v>
      </c>
      <c r="O9" s="208" t="str">
        <f t="shared" si="5"/>
        <v>F</v>
      </c>
      <c r="P9" s="208" t="str">
        <f t="shared" si="5"/>
        <v>F</v>
      </c>
      <c r="Q9" s="209" t="str">
        <f t="shared" si="6"/>
        <v>F</v>
      </c>
      <c r="R9" s="208" t="str">
        <f t="shared" si="5"/>
        <v>F</v>
      </c>
      <c r="S9" s="208" t="str">
        <f t="shared" si="5"/>
        <v>F</v>
      </c>
      <c r="T9" s="208" t="str">
        <f t="shared" si="5"/>
        <v>F</v>
      </c>
      <c r="U9" s="208" t="str">
        <f t="shared" si="5"/>
        <v>F</v>
      </c>
      <c r="V9" s="208" t="str">
        <f t="shared" si="5"/>
        <v>F</v>
      </c>
      <c r="W9" s="208" t="str">
        <f t="shared" si="5"/>
        <v>F</v>
      </c>
      <c r="X9" s="208" t="str">
        <f t="shared" si="5"/>
        <v>F</v>
      </c>
      <c r="Y9" s="208" t="str">
        <f t="shared" si="5"/>
        <v>F</v>
      </c>
      <c r="Z9" s="208" t="str">
        <f t="shared" si="5"/>
        <v>F</v>
      </c>
      <c r="AA9" s="209" t="str">
        <f t="shared" si="5"/>
        <v>F</v>
      </c>
      <c r="AB9" s="208" t="str">
        <f t="shared" si="5"/>
        <v>F</v>
      </c>
      <c r="AC9" s="208" t="str">
        <f t="shared" si="5"/>
        <v>F</v>
      </c>
      <c r="AD9" s="208" t="str">
        <f t="shared" si="5"/>
        <v>F</v>
      </c>
      <c r="AE9" s="208" t="str">
        <f t="shared" si="5"/>
        <v>F</v>
      </c>
      <c r="AF9" s="208" t="str">
        <f t="shared" si="5"/>
        <v>F</v>
      </c>
      <c r="AG9" s="208" t="str">
        <f t="shared" si="5"/>
        <v>F</v>
      </c>
      <c r="AH9" s="208" t="str">
        <f t="shared" si="5"/>
        <v>F</v>
      </c>
      <c r="AI9" s="208" t="str">
        <f t="shared" si="5"/>
        <v>F</v>
      </c>
      <c r="AJ9" s="208" t="str">
        <f t="shared" si="5"/>
        <v>F</v>
      </c>
      <c r="AK9" s="209" t="str">
        <f t="shared" si="5"/>
        <v>F</v>
      </c>
      <c r="AL9" s="208" t="str">
        <f t="shared" si="5"/>
        <v>F</v>
      </c>
      <c r="AM9" s="208" t="str">
        <f t="shared" si="5"/>
        <v>F</v>
      </c>
      <c r="AN9" s="208" t="str">
        <f t="shared" si="5"/>
        <v>F</v>
      </c>
      <c r="AO9" s="208" t="str">
        <f t="shared" si="5"/>
        <v>F</v>
      </c>
      <c r="AP9" s="208" t="str">
        <f t="shared" si="5"/>
        <v>F</v>
      </c>
      <c r="AQ9" s="208" t="str">
        <f t="shared" si="5"/>
        <v>F</v>
      </c>
      <c r="AR9" s="208" t="str">
        <f t="shared" si="5"/>
        <v>F</v>
      </c>
      <c r="AS9" s="208" t="str">
        <f t="shared" si="5"/>
        <v>F</v>
      </c>
      <c r="AT9" s="208" t="str">
        <f t="shared" si="5"/>
        <v>F</v>
      </c>
      <c r="AU9" s="209" t="str">
        <f t="shared" si="5"/>
        <v>F</v>
      </c>
      <c r="AV9" s="208" t="str">
        <f t="shared" si="5"/>
        <v>F</v>
      </c>
      <c r="AW9" s="208" t="str">
        <f t="shared" si="5"/>
        <v>F</v>
      </c>
      <c r="AX9" s="208" t="str">
        <f t="shared" si="5"/>
        <v>F</v>
      </c>
      <c r="AY9" s="208" t="str">
        <f t="shared" si="5"/>
        <v>F</v>
      </c>
      <c r="AZ9" s="208" t="str">
        <f t="shared" si="5"/>
        <v>F</v>
      </c>
      <c r="BA9" s="208" t="str">
        <f t="shared" si="5"/>
        <v>F</v>
      </c>
      <c r="BB9" s="208" t="str">
        <f t="shared" si="5"/>
        <v>F</v>
      </c>
      <c r="BC9" s="208" t="str">
        <f t="shared" si="5"/>
        <v>F</v>
      </c>
      <c r="BD9" s="208" t="str">
        <f t="shared" si="5"/>
        <v>F</v>
      </c>
      <c r="BE9" s="209" t="str">
        <f t="shared" si="5"/>
        <v>F</v>
      </c>
      <c r="BF9" s="208" t="str">
        <f t="shared" si="5"/>
        <v>F</v>
      </c>
      <c r="BG9" s="208" t="str">
        <f t="shared" si="5"/>
        <v>F</v>
      </c>
      <c r="BH9" s="208" t="str">
        <f t="shared" si="5"/>
        <v>F</v>
      </c>
      <c r="BI9" s="208" t="str">
        <f t="shared" si="5"/>
        <v>F</v>
      </c>
      <c r="BJ9" s="208" t="str">
        <f t="shared" si="5"/>
        <v>F</v>
      </c>
      <c r="BK9" s="208" t="str">
        <f t="shared" si="5"/>
        <v>F</v>
      </c>
      <c r="BL9" s="208" t="str">
        <f t="shared" si="5"/>
        <v>F</v>
      </c>
      <c r="BM9" s="208" t="str">
        <f t="shared" si="5"/>
        <v>F</v>
      </c>
      <c r="BN9" s="208" t="str">
        <f t="shared" si="5"/>
        <v>F</v>
      </c>
      <c r="BO9" s="209" t="str">
        <f t="shared" si="5"/>
        <v>F</v>
      </c>
      <c r="BP9" s="208" t="str">
        <f t="shared" si="5"/>
        <v>F</v>
      </c>
      <c r="BQ9" s="208" t="str">
        <f t="shared" si="5"/>
        <v>F</v>
      </c>
      <c r="BR9" s="208" t="str">
        <f t="shared" si="5"/>
        <v>F</v>
      </c>
      <c r="BS9" s="208" t="str">
        <f t="shared" si="7"/>
        <v>F</v>
      </c>
      <c r="BT9" s="208" t="str">
        <f t="shared" si="7"/>
        <v>F</v>
      </c>
      <c r="BU9" s="208" t="str">
        <f t="shared" si="7"/>
        <v>F</v>
      </c>
      <c r="BV9" s="208" t="str">
        <f t="shared" si="7"/>
        <v>F</v>
      </c>
      <c r="BW9" s="208" t="str">
        <f t="shared" si="7"/>
        <v>F</v>
      </c>
      <c r="BX9" s="208" t="str">
        <f t="shared" si="7"/>
        <v>F</v>
      </c>
      <c r="BY9" s="209" t="str">
        <f t="shared" si="7"/>
        <v>F</v>
      </c>
      <c r="BZ9" s="208" t="str">
        <f t="shared" si="7"/>
        <v>F</v>
      </c>
      <c r="CA9" s="208" t="str">
        <f t="shared" si="7"/>
        <v>F</v>
      </c>
      <c r="CB9" s="208" t="str">
        <f t="shared" si="7"/>
        <v>F</v>
      </c>
      <c r="CC9" s="208" t="str">
        <f t="shared" si="7"/>
        <v>F</v>
      </c>
      <c r="CD9" s="208" t="str">
        <f t="shared" si="7"/>
        <v>F</v>
      </c>
      <c r="CE9" s="208" t="str">
        <f t="shared" si="7"/>
        <v>F</v>
      </c>
      <c r="CF9" s="208" t="str">
        <f t="shared" si="7"/>
        <v>F</v>
      </c>
      <c r="CG9" s="208" t="str">
        <f t="shared" si="7"/>
        <v>F</v>
      </c>
      <c r="CH9" s="208" t="str">
        <f t="shared" si="7"/>
        <v>F</v>
      </c>
      <c r="CI9" s="219" t="str">
        <f t="shared" si="7"/>
        <v>F</v>
      </c>
      <c r="CJ9" s="218" t="str">
        <f t="shared" si="7"/>
        <v>F</v>
      </c>
      <c r="CK9" s="218" t="str">
        <f t="shared" si="7"/>
        <v>F</v>
      </c>
      <c r="CL9" s="218" t="str">
        <f t="shared" si="7"/>
        <v>F</v>
      </c>
      <c r="CM9" s="218" t="str">
        <f t="shared" si="7"/>
        <v>F</v>
      </c>
      <c r="CN9" s="218" t="str">
        <f t="shared" si="7"/>
        <v>T</v>
      </c>
      <c r="CO9" s="218" t="str">
        <f t="shared" si="7"/>
        <v>T</v>
      </c>
      <c r="CP9" s="218" t="str">
        <f t="shared" si="7"/>
        <v>T</v>
      </c>
      <c r="CQ9" s="218" t="str">
        <f t="shared" si="7"/>
        <v>T</v>
      </c>
      <c r="CR9" s="218" t="str">
        <f t="shared" si="7"/>
        <v>T</v>
      </c>
      <c r="CS9" s="219" t="str">
        <f t="shared" si="7"/>
        <v>T</v>
      </c>
      <c r="CT9" s="218" t="str">
        <f t="shared" si="7"/>
        <v>T</v>
      </c>
      <c r="CU9" s="218" t="str">
        <f t="shared" si="7"/>
        <v>T</v>
      </c>
      <c r="CV9" s="218" t="str">
        <f t="shared" si="7"/>
        <v>T</v>
      </c>
      <c r="CW9" s="218" t="str">
        <f t="shared" si="7"/>
        <v>T</v>
      </c>
      <c r="CX9" s="218" t="str">
        <f t="shared" si="7"/>
        <v>T</v>
      </c>
      <c r="CY9" s="208" t="str">
        <f t="shared" si="7"/>
        <v>F</v>
      </c>
      <c r="CZ9" s="208" t="str">
        <f t="shared" si="7"/>
        <v>F</v>
      </c>
      <c r="DA9" s="208" t="str">
        <f t="shared" si="7"/>
        <v>F</v>
      </c>
      <c r="DB9" s="208" t="str">
        <f t="shared" si="7"/>
        <v>F</v>
      </c>
      <c r="DC9" s="210" t="str">
        <f t="shared" si="7"/>
        <v>F</v>
      </c>
    </row>
    <row r="10" spans="2:107" x14ac:dyDescent="0.2">
      <c r="B10" s="205"/>
      <c r="C10" s="882"/>
      <c r="D10" s="206"/>
      <c r="E10" s="247"/>
      <c r="F10" s="207"/>
      <c r="G10" s="220"/>
      <c r="H10" s="221"/>
      <c r="I10" s="221"/>
      <c r="J10" s="221"/>
      <c r="K10" s="221"/>
      <c r="L10" s="221"/>
      <c r="M10" s="221"/>
      <c r="N10" s="221"/>
      <c r="O10" s="221"/>
      <c r="P10" s="221"/>
      <c r="Q10" s="222"/>
      <c r="R10" s="221"/>
      <c r="S10" s="221"/>
      <c r="T10" s="221"/>
      <c r="U10" s="221"/>
      <c r="V10" s="221"/>
      <c r="W10" s="221"/>
      <c r="X10" s="221"/>
      <c r="Y10" s="221"/>
      <c r="Z10" s="221"/>
      <c r="AA10" s="222"/>
      <c r="AB10" s="221"/>
      <c r="AC10" s="221"/>
      <c r="AD10" s="221"/>
      <c r="AE10" s="221"/>
      <c r="AF10" s="221"/>
      <c r="AG10" s="221"/>
      <c r="AH10" s="221"/>
      <c r="AI10" s="221"/>
      <c r="AJ10" s="221"/>
      <c r="AK10" s="222"/>
      <c r="AL10" s="221"/>
      <c r="AM10" s="221"/>
      <c r="AN10" s="221"/>
      <c r="AO10" s="221"/>
      <c r="AP10" s="221"/>
      <c r="AQ10" s="221"/>
      <c r="AR10" s="221"/>
      <c r="AS10" s="221"/>
      <c r="AT10" s="221"/>
      <c r="AU10" s="222"/>
      <c r="AV10" s="221"/>
      <c r="AW10" s="221"/>
      <c r="AX10" s="221"/>
      <c r="AY10" s="221"/>
      <c r="AZ10" s="221"/>
      <c r="BA10" s="221"/>
      <c r="BB10" s="221"/>
      <c r="BC10" s="221"/>
      <c r="BD10" s="221"/>
      <c r="BE10" s="222"/>
      <c r="BF10" s="221"/>
      <c r="BG10" s="221"/>
      <c r="BH10" s="221"/>
      <c r="BI10" s="221"/>
      <c r="BJ10" s="221"/>
      <c r="BK10" s="221"/>
      <c r="BL10" s="221"/>
      <c r="BM10" s="221"/>
      <c r="BN10" s="221"/>
      <c r="BO10" s="222"/>
      <c r="BP10" s="221"/>
      <c r="BQ10" s="221"/>
      <c r="BR10" s="221"/>
      <c r="BS10" s="221"/>
      <c r="BT10" s="221"/>
      <c r="BU10" s="221"/>
      <c r="BV10" s="221"/>
      <c r="BW10" s="221"/>
      <c r="BX10" s="221"/>
      <c r="BY10" s="222"/>
      <c r="BZ10" s="221"/>
      <c r="CA10" s="221"/>
      <c r="CB10" s="221"/>
      <c r="CC10" s="221"/>
      <c r="CD10" s="221"/>
      <c r="CE10" s="221"/>
      <c r="CF10" s="221"/>
      <c r="CG10" s="221"/>
      <c r="CH10" s="221"/>
      <c r="CI10" s="222"/>
      <c r="CJ10" s="221"/>
      <c r="CK10" s="221"/>
      <c r="CL10" s="221"/>
      <c r="CM10" s="221"/>
      <c r="CN10" s="221"/>
      <c r="CO10" s="221"/>
      <c r="CP10" s="221"/>
      <c r="CQ10" s="221"/>
      <c r="CR10" s="221"/>
      <c r="CS10" s="222"/>
      <c r="CT10" s="221"/>
      <c r="CU10" s="221"/>
      <c r="CV10" s="221"/>
      <c r="CW10" s="221"/>
      <c r="CX10" s="221"/>
      <c r="CY10" s="221"/>
      <c r="CZ10" s="221"/>
      <c r="DA10" s="221"/>
      <c r="DB10" s="221"/>
      <c r="DC10" s="223"/>
    </row>
    <row r="11" spans="2:107" x14ac:dyDescent="0.2">
      <c r="B11" s="205"/>
      <c r="C11" s="882"/>
      <c r="D11" s="206" t="str">
        <f>'Technologies Matrix'!B10</f>
        <v>Hydroponic Treatment</v>
      </c>
      <c r="E11" s="247">
        <f>'Technologies Matrix'!S10</f>
        <v>36</v>
      </c>
      <c r="F11" s="207">
        <f>'Technologies Matrix'!T10</f>
        <v>96.952380952380949</v>
      </c>
      <c r="G11" s="209" t="str">
        <f t="shared" si="5"/>
        <v>F</v>
      </c>
      <c r="H11" s="208" t="str">
        <f t="shared" si="5"/>
        <v>F</v>
      </c>
      <c r="I11" s="208" t="str">
        <f t="shared" si="5"/>
        <v>F</v>
      </c>
      <c r="J11" s="208" t="str">
        <f t="shared" si="5"/>
        <v>F</v>
      </c>
      <c r="K11" s="208" t="str">
        <f t="shared" si="5"/>
        <v>F</v>
      </c>
      <c r="L11" s="208" t="str">
        <f t="shared" si="5"/>
        <v>F</v>
      </c>
      <c r="M11" s="208" t="str">
        <f t="shared" si="5"/>
        <v>F</v>
      </c>
      <c r="N11" s="208" t="str">
        <f t="shared" si="5"/>
        <v>F</v>
      </c>
      <c r="O11" s="208" t="str">
        <f t="shared" si="5"/>
        <v>F</v>
      </c>
      <c r="P11" s="208" t="str">
        <f t="shared" si="5"/>
        <v>F</v>
      </c>
      <c r="Q11" s="209" t="str">
        <f t="shared" si="6"/>
        <v>F</v>
      </c>
      <c r="R11" s="208" t="str">
        <f t="shared" si="5"/>
        <v>F</v>
      </c>
      <c r="S11" s="208" t="str">
        <f t="shared" si="5"/>
        <v>F</v>
      </c>
      <c r="T11" s="208" t="str">
        <f t="shared" si="5"/>
        <v>F</v>
      </c>
      <c r="U11" s="208" t="str">
        <f t="shared" si="5"/>
        <v>F</v>
      </c>
      <c r="V11" s="208" t="str">
        <f t="shared" si="5"/>
        <v>F</v>
      </c>
      <c r="W11" s="208" t="str">
        <f t="shared" si="5"/>
        <v>F</v>
      </c>
      <c r="X11" s="208" t="str">
        <f t="shared" si="5"/>
        <v>F</v>
      </c>
      <c r="Y11" s="208" t="str">
        <f t="shared" si="5"/>
        <v>F</v>
      </c>
      <c r="Z11" s="208" t="str">
        <f t="shared" si="5"/>
        <v>F</v>
      </c>
      <c r="AA11" s="209" t="str">
        <f t="shared" si="5"/>
        <v>F</v>
      </c>
      <c r="AB11" s="208" t="str">
        <f t="shared" si="5"/>
        <v>F</v>
      </c>
      <c r="AC11" s="208" t="str">
        <f t="shared" si="5"/>
        <v>F</v>
      </c>
      <c r="AD11" s="208" t="str">
        <f t="shared" si="5"/>
        <v>F</v>
      </c>
      <c r="AE11" s="208" t="str">
        <f t="shared" si="5"/>
        <v>F</v>
      </c>
      <c r="AF11" s="208" t="str">
        <f t="shared" si="5"/>
        <v>F</v>
      </c>
      <c r="AG11" s="208" t="str">
        <f t="shared" si="5"/>
        <v>F</v>
      </c>
      <c r="AH11" s="208" t="str">
        <f t="shared" si="5"/>
        <v>F</v>
      </c>
      <c r="AI11" s="208" t="str">
        <f t="shared" si="5"/>
        <v>F</v>
      </c>
      <c r="AJ11" s="208" t="str">
        <f t="shared" si="5"/>
        <v>F</v>
      </c>
      <c r="AK11" s="209" t="str">
        <f t="shared" si="5"/>
        <v>F</v>
      </c>
      <c r="AL11" s="208" t="str">
        <f t="shared" si="5"/>
        <v>F</v>
      </c>
      <c r="AM11" s="208" t="str">
        <f t="shared" si="5"/>
        <v>F</v>
      </c>
      <c r="AN11" s="208" t="str">
        <f t="shared" si="5"/>
        <v>F</v>
      </c>
      <c r="AO11" s="208" t="str">
        <f t="shared" si="5"/>
        <v>F</v>
      </c>
      <c r="AP11" s="208" t="str">
        <f t="shared" si="5"/>
        <v>F</v>
      </c>
      <c r="AQ11" s="208" t="str">
        <f t="shared" si="5"/>
        <v>T</v>
      </c>
      <c r="AR11" s="208" t="str">
        <f t="shared" si="5"/>
        <v>T</v>
      </c>
      <c r="AS11" s="208" t="str">
        <f t="shared" si="5"/>
        <v>T</v>
      </c>
      <c r="AT11" s="208" t="str">
        <f t="shared" si="5"/>
        <v>T</v>
      </c>
      <c r="AU11" s="209" t="str">
        <f t="shared" si="5"/>
        <v>T</v>
      </c>
      <c r="AV11" s="208" t="str">
        <f t="shared" si="5"/>
        <v>T</v>
      </c>
      <c r="AW11" s="208" t="str">
        <f t="shared" si="5"/>
        <v>T</v>
      </c>
      <c r="AX11" s="208" t="str">
        <f t="shared" si="5"/>
        <v>T</v>
      </c>
      <c r="AY11" s="208" t="str">
        <f t="shared" si="5"/>
        <v>T</v>
      </c>
      <c r="AZ11" s="208" t="str">
        <f t="shared" si="5"/>
        <v>T</v>
      </c>
      <c r="BA11" s="208" t="str">
        <f t="shared" si="5"/>
        <v>T</v>
      </c>
      <c r="BB11" s="208" t="str">
        <f t="shared" si="5"/>
        <v>T</v>
      </c>
      <c r="BC11" s="208" t="str">
        <f t="shared" si="5"/>
        <v>T</v>
      </c>
      <c r="BD11" s="208" t="str">
        <f t="shared" si="5"/>
        <v>T</v>
      </c>
      <c r="BE11" s="209" t="str">
        <f t="shared" si="5"/>
        <v>T</v>
      </c>
      <c r="BF11" s="208" t="str">
        <f t="shared" si="5"/>
        <v>T</v>
      </c>
      <c r="BG11" s="208" t="str">
        <f t="shared" si="5"/>
        <v>T</v>
      </c>
      <c r="BH11" s="208" t="str">
        <f t="shared" si="5"/>
        <v>T</v>
      </c>
      <c r="BI11" s="208" t="str">
        <f t="shared" si="5"/>
        <v>T</v>
      </c>
      <c r="BJ11" s="208" t="str">
        <f t="shared" si="5"/>
        <v>T</v>
      </c>
      <c r="BK11" s="208" t="str">
        <f t="shared" si="5"/>
        <v>T</v>
      </c>
      <c r="BL11" s="208" t="str">
        <f t="shared" si="5"/>
        <v>T</v>
      </c>
      <c r="BM11" s="208" t="str">
        <f t="shared" si="5"/>
        <v>T</v>
      </c>
      <c r="BN11" s="208" t="str">
        <f t="shared" si="5"/>
        <v>T</v>
      </c>
      <c r="BO11" s="209" t="str">
        <f t="shared" si="5"/>
        <v>T</v>
      </c>
      <c r="BP11" s="208" t="str">
        <f t="shared" si="5"/>
        <v>T</v>
      </c>
      <c r="BQ11" s="208" t="str">
        <f t="shared" si="5"/>
        <v>T</v>
      </c>
      <c r="BR11" s="208" t="str">
        <f>IF(AND(BR$3&gt;=$E11,BR$3&lt;=$F11),"T","F")</f>
        <v>T</v>
      </c>
      <c r="BS11" s="208" t="str">
        <f t="shared" si="7"/>
        <v>T</v>
      </c>
      <c r="BT11" s="208" t="str">
        <f t="shared" si="7"/>
        <v>T</v>
      </c>
      <c r="BU11" s="208" t="str">
        <f t="shared" si="7"/>
        <v>T</v>
      </c>
      <c r="BV11" s="208" t="str">
        <f t="shared" si="7"/>
        <v>T</v>
      </c>
      <c r="BW11" s="208" t="str">
        <f t="shared" si="7"/>
        <v>T</v>
      </c>
      <c r="BX11" s="208" t="str">
        <f t="shared" si="7"/>
        <v>T</v>
      </c>
      <c r="BY11" s="209" t="str">
        <f t="shared" si="7"/>
        <v>T</v>
      </c>
      <c r="BZ11" s="208" t="str">
        <f t="shared" si="7"/>
        <v>T</v>
      </c>
      <c r="CA11" s="208" t="str">
        <f t="shared" si="7"/>
        <v>T</v>
      </c>
      <c r="CB11" s="208" t="str">
        <f t="shared" si="7"/>
        <v>T</v>
      </c>
      <c r="CC11" s="208" t="str">
        <f t="shared" si="7"/>
        <v>T</v>
      </c>
      <c r="CD11" s="208" t="str">
        <f t="shared" si="7"/>
        <v>T</v>
      </c>
      <c r="CE11" s="208" t="str">
        <f t="shared" si="7"/>
        <v>T</v>
      </c>
      <c r="CF11" s="208" t="str">
        <f t="shared" si="7"/>
        <v>T</v>
      </c>
      <c r="CG11" s="208" t="str">
        <f t="shared" si="7"/>
        <v>T</v>
      </c>
      <c r="CH11" s="208" t="str">
        <f t="shared" si="7"/>
        <v>T</v>
      </c>
      <c r="CI11" s="219" t="str">
        <f t="shared" si="7"/>
        <v>T</v>
      </c>
      <c r="CJ11" s="218" t="str">
        <f t="shared" si="7"/>
        <v>T</v>
      </c>
      <c r="CK11" s="218" t="str">
        <f t="shared" si="7"/>
        <v>T</v>
      </c>
      <c r="CL11" s="218" t="str">
        <f t="shared" si="7"/>
        <v>T</v>
      </c>
      <c r="CM11" s="218" t="str">
        <f t="shared" si="7"/>
        <v>T</v>
      </c>
      <c r="CN11" s="218" t="str">
        <f t="shared" si="7"/>
        <v>T</v>
      </c>
      <c r="CO11" s="218" t="str">
        <f t="shared" si="7"/>
        <v>T</v>
      </c>
      <c r="CP11" s="218" t="str">
        <f t="shared" si="7"/>
        <v>T</v>
      </c>
      <c r="CQ11" s="218" t="str">
        <f t="shared" si="7"/>
        <v>T</v>
      </c>
      <c r="CR11" s="218" t="str">
        <f t="shared" si="7"/>
        <v>T</v>
      </c>
      <c r="CS11" s="219" t="str">
        <f t="shared" si="7"/>
        <v>T</v>
      </c>
      <c r="CT11" s="218" t="str">
        <f t="shared" si="7"/>
        <v>T</v>
      </c>
      <c r="CU11" s="218" t="str">
        <f t="shared" si="7"/>
        <v>T</v>
      </c>
      <c r="CV11" s="218" t="str">
        <f t="shared" si="7"/>
        <v>T</v>
      </c>
      <c r="CW11" s="218" t="str">
        <f t="shared" si="7"/>
        <v>T</v>
      </c>
      <c r="CX11" s="218" t="str">
        <f t="shared" si="7"/>
        <v>T</v>
      </c>
      <c r="CY11" s="208" t="str">
        <f t="shared" si="7"/>
        <v>T</v>
      </c>
      <c r="CZ11" s="208" t="str">
        <f t="shared" si="7"/>
        <v>F</v>
      </c>
      <c r="DA11" s="208" t="str">
        <f t="shared" si="7"/>
        <v>F</v>
      </c>
      <c r="DB11" s="208" t="str">
        <f t="shared" si="7"/>
        <v>F</v>
      </c>
      <c r="DC11" s="210" t="str">
        <f t="shared" si="7"/>
        <v>F</v>
      </c>
    </row>
    <row r="12" spans="2:107" x14ac:dyDescent="0.2">
      <c r="B12" s="205"/>
      <c r="C12" s="882"/>
      <c r="D12" s="206"/>
      <c r="E12" s="247"/>
      <c r="F12" s="207"/>
      <c r="G12" s="220"/>
      <c r="H12" s="221"/>
      <c r="I12" s="221"/>
      <c r="J12" s="221"/>
      <c r="K12" s="221"/>
      <c r="L12" s="221"/>
      <c r="M12" s="221"/>
      <c r="N12" s="221"/>
      <c r="O12" s="221"/>
      <c r="P12" s="221"/>
      <c r="Q12" s="222"/>
      <c r="R12" s="221"/>
      <c r="S12" s="221"/>
      <c r="T12" s="221"/>
      <c r="U12" s="221"/>
      <c r="V12" s="221"/>
      <c r="W12" s="221"/>
      <c r="X12" s="221"/>
      <c r="Y12" s="221"/>
      <c r="Z12" s="221"/>
      <c r="AA12" s="222"/>
      <c r="AB12" s="221"/>
      <c r="AC12" s="221"/>
      <c r="AD12" s="221"/>
      <c r="AE12" s="221"/>
      <c r="AF12" s="221"/>
      <c r="AG12" s="221"/>
      <c r="AH12" s="221"/>
      <c r="AI12" s="221"/>
      <c r="AJ12" s="221"/>
      <c r="AK12" s="222"/>
      <c r="AL12" s="221"/>
      <c r="AM12" s="221"/>
      <c r="AN12" s="221"/>
      <c r="AO12" s="221"/>
      <c r="AP12" s="221"/>
      <c r="AQ12" s="221"/>
      <c r="AR12" s="221"/>
      <c r="AS12" s="221"/>
      <c r="AT12" s="221"/>
      <c r="AU12" s="222"/>
      <c r="AV12" s="221"/>
      <c r="AW12" s="221"/>
      <c r="AX12" s="221"/>
      <c r="AY12" s="221"/>
      <c r="AZ12" s="221"/>
      <c r="BA12" s="221"/>
      <c r="BB12" s="221"/>
      <c r="BC12" s="221"/>
      <c r="BD12" s="221"/>
      <c r="BE12" s="222"/>
      <c r="BF12" s="221"/>
      <c r="BG12" s="221"/>
      <c r="BH12" s="221"/>
      <c r="BI12" s="221"/>
      <c r="BJ12" s="221"/>
      <c r="BK12" s="221"/>
      <c r="BL12" s="221"/>
      <c r="BM12" s="221"/>
      <c r="BN12" s="221"/>
      <c r="BO12" s="222"/>
      <c r="BP12" s="221"/>
      <c r="BQ12" s="221"/>
      <c r="BR12" s="221"/>
      <c r="BS12" s="221"/>
      <c r="BT12" s="221"/>
      <c r="BU12" s="221"/>
      <c r="BV12" s="221"/>
      <c r="BW12" s="221"/>
      <c r="BX12" s="221"/>
      <c r="BY12" s="222"/>
      <c r="BZ12" s="221"/>
      <c r="CA12" s="221"/>
      <c r="CB12" s="221"/>
      <c r="CC12" s="221"/>
      <c r="CD12" s="221"/>
      <c r="CE12" s="221"/>
      <c r="CF12" s="221"/>
      <c r="CG12" s="221"/>
      <c r="CH12" s="221"/>
      <c r="CI12" s="222"/>
      <c r="CJ12" s="221"/>
      <c r="CK12" s="221"/>
      <c r="CL12" s="221"/>
      <c r="CM12" s="221"/>
      <c r="CN12" s="221"/>
      <c r="CO12" s="221"/>
      <c r="CP12" s="221"/>
      <c r="CQ12" s="221"/>
      <c r="CR12" s="221"/>
      <c r="CS12" s="222"/>
      <c r="CT12" s="221"/>
      <c r="CU12" s="221"/>
      <c r="CV12" s="221"/>
      <c r="CW12" s="221"/>
      <c r="CX12" s="221"/>
      <c r="CY12" s="221"/>
      <c r="CZ12" s="221"/>
      <c r="DA12" s="221"/>
      <c r="DB12" s="221"/>
      <c r="DC12" s="223"/>
    </row>
    <row r="13" spans="2:107" x14ac:dyDescent="0.2">
      <c r="B13" s="205"/>
      <c r="C13" s="882"/>
      <c r="D13" s="206" t="str">
        <f>'Technologies Matrix'!B11</f>
        <v>Phytoirrigation</v>
      </c>
      <c r="E13" s="247">
        <f>'Technologies Matrix'!S11</f>
        <v>50</v>
      </c>
      <c r="F13" s="207">
        <f>'Technologies Matrix'!T11</f>
        <v>75</v>
      </c>
      <c r="G13" s="209" t="str">
        <f t="shared" ref="G13:BR13" si="8">IF(AND(G$3&gt;=$E13,G$3&lt;=$F13),"T","F")</f>
        <v>F</v>
      </c>
      <c r="H13" s="208" t="str">
        <f t="shared" si="8"/>
        <v>F</v>
      </c>
      <c r="I13" s="208" t="str">
        <f t="shared" si="8"/>
        <v>F</v>
      </c>
      <c r="J13" s="208" t="str">
        <f t="shared" si="8"/>
        <v>F</v>
      </c>
      <c r="K13" s="208" t="str">
        <f t="shared" si="8"/>
        <v>F</v>
      </c>
      <c r="L13" s="208" t="str">
        <f t="shared" si="8"/>
        <v>F</v>
      </c>
      <c r="M13" s="208" t="str">
        <f t="shared" si="8"/>
        <v>F</v>
      </c>
      <c r="N13" s="208" t="str">
        <f t="shared" si="8"/>
        <v>F</v>
      </c>
      <c r="O13" s="208" t="str">
        <f t="shared" si="8"/>
        <v>F</v>
      </c>
      <c r="P13" s="208" t="str">
        <f t="shared" si="8"/>
        <v>F</v>
      </c>
      <c r="Q13" s="209" t="str">
        <f t="shared" si="8"/>
        <v>F</v>
      </c>
      <c r="R13" s="208" t="str">
        <f t="shared" si="8"/>
        <v>F</v>
      </c>
      <c r="S13" s="208" t="str">
        <f t="shared" si="8"/>
        <v>F</v>
      </c>
      <c r="T13" s="208" t="str">
        <f t="shared" si="8"/>
        <v>F</v>
      </c>
      <c r="U13" s="208" t="str">
        <f t="shared" si="8"/>
        <v>F</v>
      </c>
      <c r="V13" s="208" t="str">
        <f t="shared" si="8"/>
        <v>F</v>
      </c>
      <c r="W13" s="208" t="str">
        <f t="shared" si="8"/>
        <v>F</v>
      </c>
      <c r="X13" s="208" t="str">
        <f t="shared" si="8"/>
        <v>F</v>
      </c>
      <c r="Y13" s="208" t="str">
        <f t="shared" si="8"/>
        <v>F</v>
      </c>
      <c r="Z13" s="208" t="str">
        <f t="shared" si="8"/>
        <v>F</v>
      </c>
      <c r="AA13" s="209" t="str">
        <f t="shared" si="8"/>
        <v>F</v>
      </c>
      <c r="AB13" s="208" t="str">
        <f t="shared" si="8"/>
        <v>F</v>
      </c>
      <c r="AC13" s="208" t="str">
        <f t="shared" si="8"/>
        <v>F</v>
      </c>
      <c r="AD13" s="208" t="str">
        <f t="shared" si="8"/>
        <v>F</v>
      </c>
      <c r="AE13" s="208" t="str">
        <f t="shared" si="8"/>
        <v>F</v>
      </c>
      <c r="AF13" s="208" t="str">
        <f t="shared" si="8"/>
        <v>F</v>
      </c>
      <c r="AG13" s="208" t="str">
        <f t="shared" si="8"/>
        <v>F</v>
      </c>
      <c r="AH13" s="208" t="str">
        <f t="shared" si="8"/>
        <v>F</v>
      </c>
      <c r="AI13" s="208" t="str">
        <f t="shared" si="8"/>
        <v>F</v>
      </c>
      <c r="AJ13" s="208" t="str">
        <f t="shared" si="8"/>
        <v>F</v>
      </c>
      <c r="AK13" s="209" t="str">
        <f t="shared" si="8"/>
        <v>F</v>
      </c>
      <c r="AL13" s="208" t="str">
        <f t="shared" si="8"/>
        <v>F</v>
      </c>
      <c r="AM13" s="208" t="str">
        <f t="shared" si="8"/>
        <v>F</v>
      </c>
      <c r="AN13" s="208" t="str">
        <f t="shared" si="8"/>
        <v>F</v>
      </c>
      <c r="AO13" s="208" t="str">
        <f t="shared" si="8"/>
        <v>F</v>
      </c>
      <c r="AP13" s="208" t="str">
        <f t="shared" si="8"/>
        <v>F</v>
      </c>
      <c r="AQ13" s="208" t="str">
        <f t="shared" si="8"/>
        <v>F</v>
      </c>
      <c r="AR13" s="208" t="str">
        <f t="shared" si="8"/>
        <v>F</v>
      </c>
      <c r="AS13" s="208" t="str">
        <f t="shared" si="8"/>
        <v>F</v>
      </c>
      <c r="AT13" s="208" t="str">
        <f t="shared" si="8"/>
        <v>F</v>
      </c>
      <c r="AU13" s="209" t="str">
        <f t="shared" si="8"/>
        <v>F</v>
      </c>
      <c r="AV13" s="208" t="str">
        <f t="shared" si="8"/>
        <v>F</v>
      </c>
      <c r="AW13" s="208" t="str">
        <f t="shared" si="8"/>
        <v>F</v>
      </c>
      <c r="AX13" s="208" t="str">
        <f t="shared" si="8"/>
        <v>F</v>
      </c>
      <c r="AY13" s="208" t="str">
        <f t="shared" si="8"/>
        <v>F</v>
      </c>
      <c r="AZ13" s="208" t="str">
        <f t="shared" si="8"/>
        <v>F</v>
      </c>
      <c r="BA13" s="208" t="str">
        <f t="shared" si="8"/>
        <v>F</v>
      </c>
      <c r="BB13" s="208" t="str">
        <f t="shared" si="8"/>
        <v>F</v>
      </c>
      <c r="BC13" s="208" t="str">
        <f t="shared" si="8"/>
        <v>F</v>
      </c>
      <c r="BD13" s="208" t="str">
        <f t="shared" si="8"/>
        <v>F</v>
      </c>
      <c r="BE13" s="209" t="str">
        <f t="shared" si="8"/>
        <v>T</v>
      </c>
      <c r="BF13" s="208" t="str">
        <f t="shared" si="8"/>
        <v>T</v>
      </c>
      <c r="BG13" s="208" t="str">
        <f t="shared" si="8"/>
        <v>T</v>
      </c>
      <c r="BH13" s="208" t="str">
        <f t="shared" si="8"/>
        <v>T</v>
      </c>
      <c r="BI13" s="208" t="str">
        <f t="shared" si="8"/>
        <v>T</v>
      </c>
      <c r="BJ13" s="208" t="str">
        <f t="shared" si="8"/>
        <v>T</v>
      </c>
      <c r="BK13" s="208" t="str">
        <f t="shared" si="8"/>
        <v>T</v>
      </c>
      <c r="BL13" s="208" t="str">
        <f t="shared" si="8"/>
        <v>T</v>
      </c>
      <c r="BM13" s="208" t="str">
        <f t="shared" si="8"/>
        <v>T</v>
      </c>
      <c r="BN13" s="208" t="str">
        <f t="shared" si="8"/>
        <v>T</v>
      </c>
      <c r="BO13" s="209" t="str">
        <f t="shared" si="8"/>
        <v>T</v>
      </c>
      <c r="BP13" s="208" t="str">
        <f t="shared" si="8"/>
        <v>T</v>
      </c>
      <c r="BQ13" s="208" t="str">
        <f t="shared" si="8"/>
        <v>T</v>
      </c>
      <c r="BR13" s="208" t="str">
        <f t="shared" si="8"/>
        <v>T</v>
      </c>
      <c r="BS13" s="208" t="str">
        <f t="shared" si="7"/>
        <v>T</v>
      </c>
      <c r="BT13" s="208" t="str">
        <f t="shared" si="7"/>
        <v>T</v>
      </c>
      <c r="BU13" s="208" t="str">
        <f t="shared" si="7"/>
        <v>T</v>
      </c>
      <c r="BV13" s="208" t="str">
        <f t="shared" si="7"/>
        <v>T</v>
      </c>
      <c r="BW13" s="208" t="str">
        <f t="shared" si="7"/>
        <v>T</v>
      </c>
      <c r="BX13" s="208" t="str">
        <f t="shared" si="7"/>
        <v>T</v>
      </c>
      <c r="BY13" s="209" t="str">
        <f t="shared" si="7"/>
        <v>T</v>
      </c>
      <c r="BZ13" s="208" t="str">
        <f t="shared" si="7"/>
        <v>T</v>
      </c>
      <c r="CA13" s="208" t="str">
        <f t="shared" si="7"/>
        <v>T</v>
      </c>
      <c r="CB13" s="208" t="str">
        <f t="shared" si="7"/>
        <v>T</v>
      </c>
      <c r="CC13" s="208" t="str">
        <f t="shared" si="7"/>
        <v>T</v>
      </c>
      <c r="CD13" s="208" t="str">
        <f t="shared" si="7"/>
        <v>T</v>
      </c>
      <c r="CE13" s="208" t="str">
        <f t="shared" si="7"/>
        <v>F</v>
      </c>
      <c r="CF13" s="208" t="str">
        <f t="shared" si="7"/>
        <v>F</v>
      </c>
      <c r="CG13" s="208" t="str">
        <f t="shared" si="7"/>
        <v>F</v>
      </c>
      <c r="CH13" s="208" t="str">
        <f t="shared" si="7"/>
        <v>F</v>
      </c>
      <c r="CI13" s="219" t="str">
        <f t="shared" si="7"/>
        <v>F</v>
      </c>
      <c r="CJ13" s="218" t="str">
        <f t="shared" si="7"/>
        <v>F</v>
      </c>
      <c r="CK13" s="218" t="str">
        <f t="shared" si="7"/>
        <v>F</v>
      </c>
      <c r="CL13" s="218" t="str">
        <f t="shared" si="7"/>
        <v>F</v>
      </c>
      <c r="CM13" s="218" t="str">
        <f t="shared" si="7"/>
        <v>F</v>
      </c>
      <c r="CN13" s="218" t="str">
        <f t="shared" si="7"/>
        <v>F</v>
      </c>
      <c r="CO13" s="218" t="str">
        <f t="shared" si="7"/>
        <v>F</v>
      </c>
      <c r="CP13" s="218" t="str">
        <f t="shared" si="7"/>
        <v>F</v>
      </c>
      <c r="CQ13" s="218" t="str">
        <f t="shared" si="7"/>
        <v>F</v>
      </c>
      <c r="CR13" s="218" t="str">
        <f t="shared" si="7"/>
        <v>F</v>
      </c>
      <c r="CS13" s="219" t="str">
        <f t="shared" si="7"/>
        <v>F</v>
      </c>
      <c r="CT13" s="218" t="str">
        <f t="shared" si="7"/>
        <v>F</v>
      </c>
      <c r="CU13" s="218" t="str">
        <f t="shared" si="7"/>
        <v>F</v>
      </c>
      <c r="CV13" s="218" t="str">
        <f t="shared" si="7"/>
        <v>F</v>
      </c>
      <c r="CW13" s="218" t="str">
        <f t="shared" si="7"/>
        <v>F</v>
      </c>
      <c r="CX13" s="218" t="str">
        <f t="shared" si="7"/>
        <v>F</v>
      </c>
      <c r="CY13" s="208" t="str">
        <f t="shared" si="7"/>
        <v>F</v>
      </c>
      <c r="CZ13" s="208" t="str">
        <f t="shared" si="7"/>
        <v>F</v>
      </c>
      <c r="DA13" s="208" t="str">
        <f t="shared" si="7"/>
        <v>F</v>
      </c>
      <c r="DB13" s="208" t="str">
        <f t="shared" si="7"/>
        <v>F</v>
      </c>
      <c r="DC13" s="210" t="str">
        <f t="shared" si="7"/>
        <v>F</v>
      </c>
    </row>
    <row r="14" spans="2:107" x14ac:dyDescent="0.2">
      <c r="B14" s="205"/>
      <c r="C14" s="882"/>
      <c r="D14" s="206"/>
      <c r="E14" s="247"/>
      <c r="F14" s="207"/>
      <c r="G14" s="220"/>
      <c r="H14" s="221"/>
      <c r="I14" s="221"/>
      <c r="J14" s="221"/>
      <c r="K14" s="221"/>
      <c r="L14" s="221"/>
      <c r="M14" s="221"/>
      <c r="N14" s="221"/>
      <c r="O14" s="221"/>
      <c r="P14" s="221"/>
      <c r="Q14" s="222"/>
      <c r="R14" s="221"/>
      <c r="S14" s="221"/>
      <c r="T14" s="221"/>
      <c r="U14" s="221"/>
      <c r="V14" s="221"/>
      <c r="W14" s="221"/>
      <c r="X14" s="221"/>
      <c r="Y14" s="221"/>
      <c r="Z14" s="221"/>
      <c r="AA14" s="222"/>
      <c r="AB14" s="221"/>
      <c r="AC14" s="221"/>
      <c r="AD14" s="221"/>
      <c r="AE14" s="221"/>
      <c r="AF14" s="221"/>
      <c r="AG14" s="221"/>
      <c r="AH14" s="221"/>
      <c r="AI14" s="221"/>
      <c r="AJ14" s="221"/>
      <c r="AK14" s="222"/>
      <c r="AL14" s="221"/>
      <c r="AM14" s="221"/>
      <c r="AN14" s="221"/>
      <c r="AO14" s="221"/>
      <c r="AP14" s="221"/>
      <c r="AQ14" s="221"/>
      <c r="AR14" s="221"/>
      <c r="AS14" s="221"/>
      <c r="AT14" s="221"/>
      <c r="AU14" s="222"/>
      <c r="AV14" s="221"/>
      <c r="AW14" s="221"/>
      <c r="AX14" s="221"/>
      <c r="AY14" s="221"/>
      <c r="AZ14" s="221"/>
      <c r="BA14" s="221"/>
      <c r="BB14" s="221"/>
      <c r="BC14" s="221"/>
      <c r="BD14" s="221"/>
      <c r="BE14" s="222"/>
      <c r="BF14" s="221"/>
      <c r="BG14" s="221"/>
      <c r="BH14" s="221"/>
      <c r="BI14" s="221"/>
      <c r="BJ14" s="221"/>
      <c r="BK14" s="221"/>
      <c r="BL14" s="221"/>
      <c r="BM14" s="221"/>
      <c r="BN14" s="221"/>
      <c r="BO14" s="222"/>
      <c r="BP14" s="221"/>
      <c r="BQ14" s="221"/>
      <c r="BR14" s="221"/>
      <c r="BS14" s="221"/>
      <c r="BT14" s="221"/>
      <c r="BU14" s="221"/>
      <c r="BV14" s="221"/>
      <c r="BW14" s="221"/>
      <c r="BX14" s="221"/>
      <c r="BY14" s="222"/>
      <c r="BZ14" s="221"/>
      <c r="CA14" s="221"/>
      <c r="CB14" s="221"/>
      <c r="CC14" s="221"/>
      <c r="CD14" s="221"/>
      <c r="CE14" s="221"/>
      <c r="CF14" s="221"/>
      <c r="CG14" s="221"/>
      <c r="CH14" s="221"/>
      <c r="CI14" s="222"/>
      <c r="CJ14" s="221"/>
      <c r="CK14" s="221"/>
      <c r="CL14" s="221"/>
      <c r="CM14" s="221"/>
      <c r="CN14" s="221"/>
      <c r="CO14" s="221"/>
      <c r="CP14" s="221"/>
      <c r="CQ14" s="221"/>
      <c r="CR14" s="221"/>
      <c r="CS14" s="222"/>
      <c r="CT14" s="221"/>
      <c r="CU14" s="221"/>
      <c r="CV14" s="221"/>
      <c r="CW14" s="221"/>
      <c r="CX14" s="221"/>
      <c r="CY14" s="221"/>
      <c r="CZ14" s="221"/>
      <c r="DA14" s="221"/>
      <c r="DB14" s="221"/>
      <c r="DC14" s="223"/>
    </row>
    <row r="15" spans="2:107" x14ac:dyDescent="0.2">
      <c r="B15" s="205"/>
      <c r="C15" s="882"/>
      <c r="D15" s="206" t="str">
        <f>'Technologies Matrix'!B13</f>
        <v>Stormwater BMP - Tidal Influenced Phytobuffers</v>
      </c>
      <c r="E15" s="247">
        <f>'Technologies Matrix'!S13</f>
        <v>13</v>
      </c>
      <c r="F15" s="207">
        <f>'Technologies Matrix'!T13</f>
        <v>19</v>
      </c>
      <c r="G15" s="209" t="str">
        <f t="shared" ref="G15:BR15" si="9">IF(AND(G$3&gt;=$E15,G$3&lt;=$F15),"T","F")</f>
        <v>F</v>
      </c>
      <c r="H15" s="208" t="str">
        <f t="shared" si="9"/>
        <v>F</v>
      </c>
      <c r="I15" s="208" t="str">
        <f t="shared" si="9"/>
        <v>F</v>
      </c>
      <c r="J15" s="208" t="str">
        <f t="shared" si="9"/>
        <v>F</v>
      </c>
      <c r="K15" s="208" t="str">
        <f t="shared" si="9"/>
        <v>F</v>
      </c>
      <c r="L15" s="208" t="str">
        <f t="shared" si="9"/>
        <v>F</v>
      </c>
      <c r="M15" s="208" t="str">
        <f t="shared" si="9"/>
        <v>F</v>
      </c>
      <c r="N15" s="208" t="str">
        <f t="shared" si="9"/>
        <v>F</v>
      </c>
      <c r="O15" s="208" t="str">
        <f t="shared" si="9"/>
        <v>F</v>
      </c>
      <c r="P15" s="208" t="str">
        <f t="shared" si="9"/>
        <v>F</v>
      </c>
      <c r="Q15" s="209" t="str">
        <f t="shared" si="9"/>
        <v>F</v>
      </c>
      <c r="R15" s="208" t="str">
        <f t="shared" si="9"/>
        <v>F</v>
      </c>
      <c r="S15" s="208" t="str">
        <f t="shared" si="9"/>
        <v>F</v>
      </c>
      <c r="T15" s="208" t="str">
        <f t="shared" si="9"/>
        <v>T</v>
      </c>
      <c r="U15" s="208" t="str">
        <f t="shared" si="9"/>
        <v>T</v>
      </c>
      <c r="V15" s="208" t="str">
        <f t="shared" si="9"/>
        <v>T</v>
      </c>
      <c r="W15" s="208" t="str">
        <f t="shared" si="9"/>
        <v>T</v>
      </c>
      <c r="X15" s="208" t="str">
        <f t="shared" si="9"/>
        <v>T</v>
      </c>
      <c r="Y15" s="208" t="str">
        <f t="shared" si="9"/>
        <v>T</v>
      </c>
      <c r="Z15" s="208" t="str">
        <f t="shared" si="9"/>
        <v>T</v>
      </c>
      <c r="AA15" s="209" t="str">
        <f t="shared" si="9"/>
        <v>F</v>
      </c>
      <c r="AB15" s="208" t="str">
        <f t="shared" si="9"/>
        <v>F</v>
      </c>
      <c r="AC15" s="208" t="str">
        <f t="shared" si="9"/>
        <v>F</v>
      </c>
      <c r="AD15" s="208" t="str">
        <f t="shared" si="9"/>
        <v>F</v>
      </c>
      <c r="AE15" s="208" t="str">
        <f t="shared" si="9"/>
        <v>F</v>
      </c>
      <c r="AF15" s="208" t="str">
        <f t="shared" si="9"/>
        <v>F</v>
      </c>
      <c r="AG15" s="208" t="str">
        <f t="shared" si="9"/>
        <v>F</v>
      </c>
      <c r="AH15" s="208" t="str">
        <f t="shared" si="9"/>
        <v>F</v>
      </c>
      <c r="AI15" s="208" t="str">
        <f t="shared" si="9"/>
        <v>F</v>
      </c>
      <c r="AJ15" s="208" t="str">
        <f t="shared" si="9"/>
        <v>F</v>
      </c>
      <c r="AK15" s="209" t="str">
        <f t="shared" si="9"/>
        <v>F</v>
      </c>
      <c r="AL15" s="208" t="str">
        <f t="shared" si="9"/>
        <v>F</v>
      </c>
      <c r="AM15" s="208" t="str">
        <f t="shared" si="9"/>
        <v>F</v>
      </c>
      <c r="AN15" s="208" t="str">
        <f t="shared" si="9"/>
        <v>F</v>
      </c>
      <c r="AO15" s="208" t="str">
        <f t="shared" si="9"/>
        <v>F</v>
      </c>
      <c r="AP15" s="208" t="str">
        <f t="shared" si="9"/>
        <v>F</v>
      </c>
      <c r="AQ15" s="208" t="str">
        <f t="shared" si="9"/>
        <v>F</v>
      </c>
      <c r="AR15" s="208" t="str">
        <f t="shared" si="9"/>
        <v>F</v>
      </c>
      <c r="AS15" s="208" t="str">
        <f t="shared" si="9"/>
        <v>F</v>
      </c>
      <c r="AT15" s="208" t="str">
        <f t="shared" si="9"/>
        <v>F</v>
      </c>
      <c r="AU15" s="209" t="str">
        <f t="shared" si="9"/>
        <v>F</v>
      </c>
      <c r="AV15" s="208" t="str">
        <f t="shared" si="9"/>
        <v>F</v>
      </c>
      <c r="AW15" s="208" t="str">
        <f t="shared" si="9"/>
        <v>F</v>
      </c>
      <c r="AX15" s="208" t="str">
        <f t="shared" si="9"/>
        <v>F</v>
      </c>
      <c r="AY15" s="208" t="str">
        <f t="shared" si="9"/>
        <v>F</v>
      </c>
      <c r="AZ15" s="208" t="str">
        <f t="shared" si="9"/>
        <v>F</v>
      </c>
      <c r="BA15" s="208" t="str">
        <f t="shared" si="9"/>
        <v>F</v>
      </c>
      <c r="BB15" s="208" t="str">
        <f t="shared" si="9"/>
        <v>F</v>
      </c>
      <c r="BC15" s="208" t="str">
        <f t="shared" si="9"/>
        <v>F</v>
      </c>
      <c r="BD15" s="208" t="str">
        <f t="shared" si="9"/>
        <v>F</v>
      </c>
      <c r="BE15" s="209" t="str">
        <f t="shared" si="9"/>
        <v>F</v>
      </c>
      <c r="BF15" s="208" t="str">
        <f t="shared" si="9"/>
        <v>F</v>
      </c>
      <c r="BG15" s="208" t="str">
        <f t="shared" si="9"/>
        <v>F</v>
      </c>
      <c r="BH15" s="208" t="str">
        <f t="shared" si="9"/>
        <v>F</v>
      </c>
      <c r="BI15" s="208" t="str">
        <f t="shared" si="9"/>
        <v>F</v>
      </c>
      <c r="BJ15" s="208" t="str">
        <f t="shared" si="9"/>
        <v>F</v>
      </c>
      <c r="BK15" s="208" t="str">
        <f t="shared" si="9"/>
        <v>F</v>
      </c>
      <c r="BL15" s="208" t="str">
        <f t="shared" si="9"/>
        <v>F</v>
      </c>
      <c r="BM15" s="208" t="str">
        <f t="shared" si="9"/>
        <v>F</v>
      </c>
      <c r="BN15" s="208" t="str">
        <f t="shared" si="9"/>
        <v>F</v>
      </c>
      <c r="BO15" s="209" t="str">
        <f t="shared" si="9"/>
        <v>F</v>
      </c>
      <c r="BP15" s="208" t="str">
        <f t="shared" si="9"/>
        <v>F</v>
      </c>
      <c r="BQ15" s="208" t="str">
        <f t="shared" si="9"/>
        <v>F</v>
      </c>
      <c r="BR15" s="208" t="str">
        <f t="shared" si="9"/>
        <v>F</v>
      </c>
      <c r="BS15" s="208" t="str">
        <f t="shared" si="7"/>
        <v>F</v>
      </c>
      <c r="BT15" s="208" t="str">
        <f t="shared" si="7"/>
        <v>F</v>
      </c>
      <c r="BU15" s="208" t="str">
        <f t="shared" si="7"/>
        <v>F</v>
      </c>
      <c r="BV15" s="208" t="str">
        <f t="shared" si="7"/>
        <v>F</v>
      </c>
      <c r="BW15" s="208" t="str">
        <f t="shared" si="7"/>
        <v>F</v>
      </c>
      <c r="BX15" s="208" t="str">
        <f t="shared" si="7"/>
        <v>F</v>
      </c>
      <c r="BY15" s="209" t="str">
        <f t="shared" si="7"/>
        <v>F</v>
      </c>
      <c r="BZ15" s="208" t="str">
        <f t="shared" si="7"/>
        <v>F</v>
      </c>
      <c r="CA15" s="208" t="str">
        <f t="shared" si="7"/>
        <v>F</v>
      </c>
      <c r="CB15" s="208" t="str">
        <f t="shared" si="7"/>
        <v>F</v>
      </c>
      <c r="CC15" s="208" t="str">
        <f t="shared" si="7"/>
        <v>F</v>
      </c>
      <c r="CD15" s="208" t="str">
        <f t="shared" si="7"/>
        <v>F</v>
      </c>
      <c r="CE15" s="208" t="str">
        <f t="shared" si="7"/>
        <v>F</v>
      </c>
      <c r="CF15" s="208" t="str">
        <f t="shared" si="7"/>
        <v>F</v>
      </c>
      <c r="CG15" s="208" t="str">
        <f t="shared" si="7"/>
        <v>F</v>
      </c>
      <c r="CH15" s="208" t="str">
        <f t="shared" si="7"/>
        <v>F</v>
      </c>
      <c r="CI15" s="219" t="str">
        <f t="shared" si="7"/>
        <v>F</v>
      </c>
      <c r="CJ15" s="218" t="str">
        <f t="shared" si="7"/>
        <v>F</v>
      </c>
      <c r="CK15" s="218" t="str">
        <f t="shared" si="7"/>
        <v>F</v>
      </c>
      <c r="CL15" s="218" t="str">
        <f t="shared" si="7"/>
        <v>F</v>
      </c>
      <c r="CM15" s="218" t="str">
        <f t="shared" si="7"/>
        <v>F</v>
      </c>
      <c r="CN15" s="218" t="str">
        <f t="shared" si="7"/>
        <v>F</v>
      </c>
      <c r="CO15" s="218" t="str">
        <f t="shared" si="7"/>
        <v>F</v>
      </c>
      <c r="CP15" s="218" t="str">
        <f t="shared" si="7"/>
        <v>F</v>
      </c>
      <c r="CQ15" s="218" t="str">
        <f t="shared" si="7"/>
        <v>F</v>
      </c>
      <c r="CR15" s="218" t="str">
        <f t="shared" si="7"/>
        <v>F</v>
      </c>
      <c r="CS15" s="219" t="str">
        <f t="shared" si="7"/>
        <v>F</v>
      </c>
      <c r="CT15" s="218" t="str">
        <f t="shared" si="7"/>
        <v>F</v>
      </c>
      <c r="CU15" s="218" t="str">
        <f t="shared" si="7"/>
        <v>F</v>
      </c>
      <c r="CV15" s="218" t="str">
        <f t="shared" si="7"/>
        <v>F</v>
      </c>
      <c r="CW15" s="218" t="str">
        <f t="shared" si="7"/>
        <v>F</v>
      </c>
      <c r="CX15" s="218" t="str">
        <f t="shared" si="7"/>
        <v>F</v>
      </c>
      <c r="CY15" s="208" t="str">
        <f t="shared" si="7"/>
        <v>F</v>
      </c>
      <c r="CZ15" s="208" t="str">
        <f t="shared" si="7"/>
        <v>F</v>
      </c>
      <c r="DA15" s="208" t="str">
        <f t="shared" si="7"/>
        <v>F</v>
      </c>
      <c r="DB15" s="208" t="str">
        <f t="shared" si="7"/>
        <v>F</v>
      </c>
      <c r="DC15" s="210" t="str">
        <f t="shared" si="7"/>
        <v>F</v>
      </c>
    </row>
    <row r="16" spans="2:107" x14ac:dyDescent="0.2">
      <c r="B16" s="205"/>
      <c r="C16" s="882"/>
      <c r="D16" s="206"/>
      <c r="E16" s="247"/>
      <c r="F16" s="207"/>
      <c r="G16" s="220"/>
      <c r="H16" s="221"/>
      <c r="I16" s="221"/>
      <c r="J16" s="221"/>
      <c r="K16" s="221"/>
      <c r="L16" s="221"/>
      <c r="M16" s="221"/>
      <c r="N16" s="221"/>
      <c r="O16" s="221"/>
      <c r="P16" s="221"/>
      <c r="Q16" s="222"/>
      <c r="R16" s="221"/>
      <c r="S16" s="221"/>
      <c r="T16" s="221"/>
      <c r="U16" s="221"/>
      <c r="V16" s="221"/>
      <c r="W16" s="221"/>
      <c r="X16" s="221"/>
      <c r="Y16" s="221"/>
      <c r="Z16" s="221"/>
      <c r="AA16" s="222"/>
      <c r="AB16" s="221"/>
      <c r="AC16" s="221"/>
      <c r="AD16" s="221"/>
      <c r="AE16" s="221"/>
      <c r="AF16" s="221"/>
      <c r="AG16" s="221"/>
      <c r="AH16" s="221"/>
      <c r="AI16" s="221"/>
      <c r="AJ16" s="221"/>
      <c r="AK16" s="222"/>
      <c r="AL16" s="221"/>
      <c r="AM16" s="221"/>
      <c r="AN16" s="221"/>
      <c r="AO16" s="221"/>
      <c r="AP16" s="221"/>
      <c r="AQ16" s="221"/>
      <c r="AR16" s="221"/>
      <c r="AS16" s="221"/>
      <c r="AT16" s="221"/>
      <c r="AU16" s="222"/>
      <c r="AV16" s="221"/>
      <c r="AW16" s="221"/>
      <c r="AX16" s="221"/>
      <c r="AY16" s="221"/>
      <c r="AZ16" s="221"/>
      <c r="BA16" s="221"/>
      <c r="BB16" s="221"/>
      <c r="BC16" s="221"/>
      <c r="BD16" s="221"/>
      <c r="BE16" s="222"/>
      <c r="BF16" s="221"/>
      <c r="BG16" s="221"/>
      <c r="BH16" s="221"/>
      <c r="BI16" s="221"/>
      <c r="BJ16" s="221"/>
      <c r="BK16" s="221"/>
      <c r="BL16" s="221"/>
      <c r="BM16" s="221"/>
      <c r="BN16" s="221"/>
      <c r="BO16" s="222"/>
      <c r="BP16" s="221"/>
      <c r="BQ16" s="221"/>
      <c r="BR16" s="221"/>
      <c r="BS16" s="221"/>
      <c r="BT16" s="221"/>
      <c r="BU16" s="221"/>
      <c r="BV16" s="221"/>
      <c r="BW16" s="221"/>
      <c r="BX16" s="221"/>
      <c r="BY16" s="222"/>
      <c r="BZ16" s="221"/>
      <c r="CA16" s="221"/>
      <c r="CB16" s="221"/>
      <c r="CC16" s="221"/>
      <c r="CD16" s="221"/>
      <c r="CE16" s="221"/>
      <c r="CF16" s="221"/>
      <c r="CG16" s="221"/>
      <c r="CH16" s="221"/>
      <c r="CI16" s="222"/>
      <c r="CJ16" s="221"/>
      <c r="CK16" s="221"/>
      <c r="CL16" s="221"/>
      <c r="CM16" s="221"/>
      <c r="CN16" s="221"/>
      <c r="CO16" s="221"/>
      <c r="CP16" s="221"/>
      <c r="CQ16" s="221"/>
      <c r="CR16" s="221"/>
      <c r="CS16" s="222"/>
      <c r="CT16" s="221"/>
      <c r="CU16" s="221"/>
      <c r="CV16" s="221"/>
      <c r="CW16" s="221"/>
      <c r="CX16" s="221"/>
      <c r="CY16" s="221"/>
      <c r="CZ16" s="221"/>
      <c r="DA16" s="221"/>
      <c r="DB16" s="221"/>
      <c r="DC16" s="223"/>
    </row>
    <row r="17" spans="2:111" x14ac:dyDescent="0.2">
      <c r="B17" s="205"/>
      <c r="C17" s="882"/>
      <c r="D17" s="206" t="str">
        <f>'Technologies Matrix'!B14</f>
        <v>Stormwater BMP - Vegetated Swale</v>
      </c>
      <c r="E17" s="247">
        <f>'Technologies Matrix'!S14</f>
        <v>1</v>
      </c>
      <c r="F17" s="207">
        <f>'Technologies Matrix'!T14</f>
        <v>13</v>
      </c>
      <c r="G17" s="209" t="str">
        <f t="shared" ref="G17:BR17" si="10">IF(AND(G$3&gt;=$E17,G$3&lt;=$F17),"T","F")</f>
        <v>F</v>
      </c>
      <c r="H17" s="208" t="str">
        <f t="shared" si="10"/>
        <v>T</v>
      </c>
      <c r="I17" s="208" t="str">
        <f t="shared" si="10"/>
        <v>T</v>
      </c>
      <c r="J17" s="208" t="str">
        <f t="shared" si="10"/>
        <v>T</v>
      </c>
      <c r="K17" s="208" t="str">
        <f t="shared" si="10"/>
        <v>T</v>
      </c>
      <c r="L17" s="208" t="str">
        <f t="shared" si="10"/>
        <v>T</v>
      </c>
      <c r="M17" s="208" t="str">
        <f t="shared" si="10"/>
        <v>T</v>
      </c>
      <c r="N17" s="208" t="str">
        <f t="shared" si="10"/>
        <v>T</v>
      </c>
      <c r="O17" s="208" t="str">
        <f t="shared" si="10"/>
        <v>T</v>
      </c>
      <c r="P17" s="208" t="str">
        <f t="shared" si="10"/>
        <v>T</v>
      </c>
      <c r="Q17" s="209" t="str">
        <f t="shared" si="10"/>
        <v>T</v>
      </c>
      <c r="R17" s="208" t="str">
        <f t="shared" si="10"/>
        <v>T</v>
      </c>
      <c r="S17" s="208" t="str">
        <f t="shared" si="10"/>
        <v>T</v>
      </c>
      <c r="T17" s="208" t="str">
        <f t="shared" si="10"/>
        <v>T</v>
      </c>
      <c r="U17" s="208" t="str">
        <f t="shared" si="10"/>
        <v>F</v>
      </c>
      <c r="V17" s="208" t="str">
        <f t="shared" si="10"/>
        <v>F</v>
      </c>
      <c r="W17" s="208" t="str">
        <f t="shared" si="10"/>
        <v>F</v>
      </c>
      <c r="X17" s="208" t="str">
        <f t="shared" si="10"/>
        <v>F</v>
      </c>
      <c r="Y17" s="208" t="str">
        <f t="shared" si="10"/>
        <v>F</v>
      </c>
      <c r="Z17" s="208" t="str">
        <f t="shared" si="10"/>
        <v>F</v>
      </c>
      <c r="AA17" s="209" t="str">
        <f t="shared" si="10"/>
        <v>F</v>
      </c>
      <c r="AB17" s="208" t="str">
        <f t="shared" si="10"/>
        <v>F</v>
      </c>
      <c r="AC17" s="208" t="str">
        <f t="shared" si="10"/>
        <v>F</v>
      </c>
      <c r="AD17" s="208" t="str">
        <f t="shared" si="10"/>
        <v>F</v>
      </c>
      <c r="AE17" s="208" t="str">
        <f t="shared" si="10"/>
        <v>F</v>
      </c>
      <c r="AF17" s="208" t="str">
        <f t="shared" si="10"/>
        <v>F</v>
      </c>
      <c r="AG17" s="208" t="str">
        <f t="shared" si="10"/>
        <v>F</v>
      </c>
      <c r="AH17" s="208" t="str">
        <f t="shared" si="10"/>
        <v>F</v>
      </c>
      <c r="AI17" s="208" t="str">
        <f t="shared" si="10"/>
        <v>F</v>
      </c>
      <c r="AJ17" s="208" t="str">
        <f t="shared" si="10"/>
        <v>F</v>
      </c>
      <c r="AK17" s="209" t="str">
        <f t="shared" si="10"/>
        <v>F</v>
      </c>
      <c r="AL17" s="208" t="str">
        <f t="shared" si="10"/>
        <v>F</v>
      </c>
      <c r="AM17" s="208" t="str">
        <f t="shared" si="10"/>
        <v>F</v>
      </c>
      <c r="AN17" s="208" t="str">
        <f t="shared" si="10"/>
        <v>F</v>
      </c>
      <c r="AO17" s="208" t="str">
        <f t="shared" si="10"/>
        <v>F</v>
      </c>
      <c r="AP17" s="208" t="str">
        <f t="shared" si="10"/>
        <v>F</v>
      </c>
      <c r="AQ17" s="208" t="str">
        <f t="shared" si="10"/>
        <v>F</v>
      </c>
      <c r="AR17" s="208" t="str">
        <f t="shared" si="10"/>
        <v>F</v>
      </c>
      <c r="AS17" s="208" t="str">
        <f t="shared" si="10"/>
        <v>F</v>
      </c>
      <c r="AT17" s="208" t="str">
        <f t="shared" si="10"/>
        <v>F</v>
      </c>
      <c r="AU17" s="209" t="str">
        <f t="shared" si="10"/>
        <v>F</v>
      </c>
      <c r="AV17" s="208" t="str">
        <f t="shared" si="10"/>
        <v>F</v>
      </c>
      <c r="AW17" s="208" t="str">
        <f t="shared" si="10"/>
        <v>F</v>
      </c>
      <c r="AX17" s="208" t="str">
        <f t="shared" si="10"/>
        <v>F</v>
      </c>
      <c r="AY17" s="208" t="str">
        <f t="shared" si="10"/>
        <v>F</v>
      </c>
      <c r="AZ17" s="208" t="str">
        <f t="shared" si="10"/>
        <v>F</v>
      </c>
      <c r="BA17" s="208" t="str">
        <f t="shared" si="10"/>
        <v>F</v>
      </c>
      <c r="BB17" s="208" t="str">
        <f t="shared" si="10"/>
        <v>F</v>
      </c>
      <c r="BC17" s="208" t="str">
        <f t="shared" si="10"/>
        <v>F</v>
      </c>
      <c r="BD17" s="208" t="str">
        <f t="shared" si="10"/>
        <v>F</v>
      </c>
      <c r="BE17" s="209" t="str">
        <f t="shared" si="10"/>
        <v>F</v>
      </c>
      <c r="BF17" s="208" t="str">
        <f t="shared" si="10"/>
        <v>F</v>
      </c>
      <c r="BG17" s="208" t="str">
        <f t="shared" si="10"/>
        <v>F</v>
      </c>
      <c r="BH17" s="208" t="str">
        <f t="shared" si="10"/>
        <v>F</v>
      </c>
      <c r="BI17" s="208" t="str">
        <f t="shared" si="10"/>
        <v>F</v>
      </c>
      <c r="BJ17" s="208" t="str">
        <f t="shared" si="10"/>
        <v>F</v>
      </c>
      <c r="BK17" s="208" t="str">
        <f t="shared" si="10"/>
        <v>F</v>
      </c>
      <c r="BL17" s="208" t="str">
        <f t="shared" si="10"/>
        <v>F</v>
      </c>
      <c r="BM17" s="208" t="str">
        <f t="shared" si="10"/>
        <v>F</v>
      </c>
      <c r="BN17" s="208" t="str">
        <f t="shared" si="10"/>
        <v>F</v>
      </c>
      <c r="BO17" s="209" t="str">
        <f t="shared" si="10"/>
        <v>F</v>
      </c>
      <c r="BP17" s="208" t="str">
        <f t="shared" si="10"/>
        <v>F</v>
      </c>
      <c r="BQ17" s="208" t="str">
        <f t="shared" si="10"/>
        <v>F</v>
      </c>
      <c r="BR17" s="208" t="str">
        <f t="shared" si="10"/>
        <v>F</v>
      </c>
      <c r="BS17" s="208" t="str">
        <f t="shared" si="7"/>
        <v>F</v>
      </c>
      <c r="BT17" s="208" t="str">
        <f t="shared" si="7"/>
        <v>F</v>
      </c>
      <c r="BU17" s="208" t="str">
        <f t="shared" si="7"/>
        <v>F</v>
      </c>
      <c r="BV17" s="208" t="str">
        <f t="shared" si="7"/>
        <v>F</v>
      </c>
      <c r="BW17" s="208" t="str">
        <f t="shared" si="7"/>
        <v>F</v>
      </c>
      <c r="BX17" s="208" t="str">
        <f t="shared" si="7"/>
        <v>F</v>
      </c>
      <c r="BY17" s="209" t="str">
        <f t="shared" si="7"/>
        <v>F</v>
      </c>
      <c r="BZ17" s="208" t="str">
        <f t="shared" si="7"/>
        <v>F</v>
      </c>
      <c r="CA17" s="208" t="str">
        <f t="shared" si="7"/>
        <v>F</v>
      </c>
      <c r="CB17" s="208" t="str">
        <f t="shared" si="7"/>
        <v>F</v>
      </c>
      <c r="CC17" s="208" t="str">
        <f t="shared" si="7"/>
        <v>F</v>
      </c>
      <c r="CD17" s="208" t="str">
        <f t="shared" si="7"/>
        <v>F</v>
      </c>
      <c r="CE17" s="208" t="str">
        <f t="shared" si="7"/>
        <v>F</v>
      </c>
      <c r="CF17" s="208" t="str">
        <f t="shared" si="7"/>
        <v>F</v>
      </c>
      <c r="CG17" s="208" t="str">
        <f t="shared" si="7"/>
        <v>F</v>
      </c>
      <c r="CH17" s="208" t="str">
        <f t="shared" si="7"/>
        <v>F</v>
      </c>
      <c r="CI17" s="219" t="str">
        <f t="shared" si="7"/>
        <v>F</v>
      </c>
      <c r="CJ17" s="218" t="str">
        <f t="shared" si="7"/>
        <v>F</v>
      </c>
      <c r="CK17" s="218" t="str">
        <f t="shared" si="7"/>
        <v>F</v>
      </c>
      <c r="CL17" s="218" t="str">
        <f t="shared" si="7"/>
        <v>F</v>
      </c>
      <c r="CM17" s="218" t="str">
        <f t="shared" si="7"/>
        <v>F</v>
      </c>
      <c r="CN17" s="218" t="str">
        <f t="shared" si="7"/>
        <v>F</v>
      </c>
      <c r="CO17" s="218" t="str">
        <f t="shared" si="7"/>
        <v>F</v>
      </c>
      <c r="CP17" s="218" t="str">
        <f t="shared" si="7"/>
        <v>F</v>
      </c>
      <c r="CQ17" s="218" t="str">
        <f t="shared" si="7"/>
        <v>F</v>
      </c>
      <c r="CR17" s="218" t="str">
        <f t="shared" si="7"/>
        <v>F</v>
      </c>
      <c r="CS17" s="219" t="str">
        <f t="shared" si="7"/>
        <v>F</v>
      </c>
      <c r="CT17" s="218" t="str">
        <f t="shared" si="7"/>
        <v>F</v>
      </c>
      <c r="CU17" s="218" t="str">
        <f t="shared" si="7"/>
        <v>F</v>
      </c>
      <c r="CV17" s="218" t="str">
        <f t="shared" si="7"/>
        <v>F</v>
      </c>
      <c r="CW17" s="218" t="str">
        <f t="shared" si="7"/>
        <v>F</v>
      </c>
      <c r="CX17" s="218" t="str">
        <f t="shared" si="7"/>
        <v>F</v>
      </c>
      <c r="CY17" s="208" t="str">
        <f t="shared" si="7"/>
        <v>F</v>
      </c>
      <c r="CZ17" s="208" t="str">
        <f>IF(AND(CZ$3&gt;=$E17,CZ$3&lt;=$F17),"T","F")</f>
        <v>F</v>
      </c>
      <c r="DA17" s="208" t="str">
        <f>IF(AND(DA$3&gt;=$E17,DA$3&lt;=$F17),"T","F")</f>
        <v>F</v>
      </c>
      <c r="DB17" s="208" t="str">
        <f>IF(AND(DB$3&gt;=$E17,DB$3&lt;=$F17),"T","F")</f>
        <v>F</v>
      </c>
      <c r="DC17" s="210" t="str">
        <f>IF(AND(DC$3&gt;=$E17,DC$3&lt;=$F17),"T","F")</f>
        <v>F</v>
      </c>
    </row>
    <row r="18" spans="2:111" x14ac:dyDescent="0.2">
      <c r="B18" s="205"/>
      <c r="C18" s="882"/>
      <c r="D18" s="206"/>
      <c r="E18" s="247"/>
      <c r="F18" s="207"/>
      <c r="G18" s="220"/>
      <c r="H18" s="221"/>
      <c r="I18" s="221"/>
      <c r="J18" s="221"/>
      <c r="K18" s="221"/>
      <c r="L18" s="221"/>
      <c r="M18" s="221"/>
      <c r="N18" s="221"/>
      <c r="O18" s="221"/>
      <c r="P18" s="221"/>
      <c r="Q18" s="222"/>
      <c r="R18" s="221"/>
      <c r="S18" s="221"/>
      <c r="T18" s="221"/>
      <c r="U18" s="221"/>
      <c r="V18" s="221"/>
      <c r="W18" s="221"/>
      <c r="X18" s="221"/>
      <c r="Y18" s="221"/>
      <c r="Z18" s="221"/>
      <c r="AA18" s="222"/>
      <c r="AB18" s="221"/>
      <c r="AC18" s="221"/>
      <c r="AD18" s="221"/>
      <c r="AE18" s="221"/>
      <c r="AF18" s="221"/>
      <c r="AG18" s="221"/>
      <c r="AH18" s="221"/>
      <c r="AI18" s="221"/>
      <c r="AJ18" s="221"/>
      <c r="AK18" s="222"/>
      <c r="AL18" s="221"/>
      <c r="AM18" s="221"/>
      <c r="AN18" s="221"/>
      <c r="AO18" s="221"/>
      <c r="AP18" s="221"/>
      <c r="AQ18" s="221"/>
      <c r="AR18" s="221"/>
      <c r="AS18" s="221"/>
      <c r="AT18" s="221"/>
      <c r="AU18" s="222"/>
      <c r="AV18" s="221"/>
      <c r="AW18" s="221"/>
      <c r="AX18" s="221"/>
      <c r="AY18" s="221"/>
      <c r="AZ18" s="221"/>
      <c r="BA18" s="221"/>
      <c r="BB18" s="221"/>
      <c r="BC18" s="221"/>
      <c r="BD18" s="221"/>
      <c r="BE18" s="222"/>
      <c r="BF18" s="221"/>
      <c r="BG18" s="221"/>
      <c r="BH18" s="221"/>
      <c r="BI18" s="221"/>
      <c r="BJ18" s="221"/>
      <c r="BK18" s="221"/>
      <c r="BL18" s="221"/>
      <c r="BM18" s="221"/>
      <c r="BN18" s="221"/>
      <c r="BO18" s="222"/>
      <c r="BP18" s="221"/>
      <c r="BQ18" s="221"/>
      <c r="BR18" s="221"/>
      <c r="BS18" s="221"/>
      <c r="BT18" s="221"/>
      <c r="BU18" s="221"/>
      <c r="BV18" s="221"/>
      <c r="BW18" s="221"/>
      <c r="BX18" s="221"/>
      <c r="BY18" s="222"/>
      <c r="BZ18" s="221"/>
      <c r="CA18" s="221"/>
      <c r="CB18" s="221"/>
      <c r="CC18" s="221"/>
      <c r="CD18" s="221"/>
      <c r="CE18" s="221"/>
      <c r="CF18" s="221"/>
      <c r="CG18" s="221"/>
      <c r="CH18" s="221"/>
      <c r="CI18" s="222"/>
      <c r="CJ18" s="221"/>
      <c r="CK18" s="221"/>
      <c r="CL18" s="221"/>
      <c r="CM18" s="221"/>
      <c r="CN18" s="221"/>
      <c r="CO18" s="221"/>
      <c r="CP18" s="221"/>
      <c r="CQ18" s="221"/>
      <c r="CR18" s="221"/>
      <c r="CS18" s="222"/>
      <c r="CT18" s="221"/>
      <c r="CU18" s="221"/>
      <c r="CV18" s="221"/>
      <c r="CW18" s="221"/>
      <c r="CX18" s="221"/>
      <c r="CY18" s="221"/>
      <c r="CZ18" s="221"/>
      <c r="DA18" s="221"/>
      <c r="DB18" s="221"/>
      <c r="DC18" s="223"/>
    </row>
    <row r="19" spans="2:111" ht="24" x14ac:dyDescent="0.2">
      <c r="B19" s="205"/>
      <c r="C19" s="882"/>
      <c r="D19" s="206" t="str">
        <f>'Technologies Matrix'!B15</f>
        <v>Stormwater BMP - Gravel Wetland (35% WQV in internal storage)</v>
      </c>
      <c r="E19" s="247">
        <f>'Technologies Matrix'!S15</f>
        <v>22</v>
      </c>
      <c r="F19" s="207">
        <f>'Technologies Matrix'!T15</f>
        <v>68</v>
      </c>
      <c r="G19" s="209" t="str">
        <f t="shared" ref="G19:BR19" si="11">IF(AND(G$3&gt;=$E19,G$3&lt;=$F19),"T","F")</f>
        <v>F</v>
      </c>
      <c r="H19" s="208" t="str">
        <f t="shared" si="11"/>
        <v>F</v>
      </c>
      <c r="I19" s="208" t="str">
        <f t="shared" si="11"/>
        <v>F</v>
      </c>
      <c r="J19" s="208" t="str">
        <f t="shared" si="11"/>
        <v>F</v>
      </c>
      <c r="K19" s="208" t="str">
        <f t="shared" si="11"/>
        <v>F</v>
      </c>
      <c r="L19" s="208" t="str">
        <f t="shared" si="11"/>
        <v>F</v>
      </c>
      <c r="M19" s="208" t="str">
        <f t="shared" si="11"/>
        <v>F</v>
      </c>
      <c r="N19" s="208" t="str">
        <f t="shared" si="11"/>
        <v>F</v>
      </c>
      <c r="O19" s="208" t="str">
        <f t="shared" si="11"/>
        <v>F</v>
      </c>
      <c r="P19" s="208" t="str">
        <f t="shared" si="11"/>
        <v>F</v>
      </c>
      <c r="Q19" s="209" t="str">
        <f t="shared" si="11"/>
        <v>F</v>
      </c>
      <c r="R19" s="208" t="str">
        <f t="shared" si="11"/>
        <v>F</v>
      </c>
      <c r="S19" s="208" t="str">
        <f t="shared" si="11"/>
        <v>F</v>
      </c>
      <c r="T19" s="208" t="str">
        <f t="shared" si="11"/>
        <v>F</v>
      </c>
      <c r="U19" s="208" t="str">
        <f t="shared" si="11"/>
        <v>F</v>
      </c>
      <c r="V19" s="208" t="str">
        <f t="shared" si="11"/>
        <v>F</v>
      </c>
      <c r="W19" s="208" t="str">
        <f t="shared" si="11"/>
        <v>F</v>
      </c>
      <c r="X19" s="208" t="str">
        <f t="shared" si="11"/>
        <v>F</v>
      </c>
      <c r="Y19" s="208" t="str">
        <f t="shared" si="11"/>
        <v>F</v>
      </c>
      <c r="Z19" s="208" t="str">
        <f t="shared" si="11"/>
        <v>F</v>
      </c>
      <c r="AA19" s="209" t="str">
        <f t="shared" si="11"/>
        <v>F</v>
      </c>
      <c r="AB19" s="208" t="str">
        <f t="shared" si="11"/>
        <v>F</v>
      </c>
      <c r="AC19" s="208" t="str">
        <f t="shared" si="11"/>
        <v>T</v>
      </c>
      <c r="AD19" s="208" t="str">
        <f t="shared" si="11"/>
        <v>T</v>
      </c>
      <c r="AE19" s="208" t="str">
        <f t="shared" si="11"/>
        <v>T</v>
      </c>
      <c r="AF19" s="208" t="str">
        <f t="shared" si="11"/>
        <v>T</v>
      </c>
      <c r="AG19" s="208" t="str">
        <f t="shared" si="11"/>
        <v>T</v>
      </c>
      <c r="AH19" s="208" t="str">
        <f t="shared" si="11"/>
        <v>T</v>
      </c>
      <c r="AI19" s="208" t="str">
        <f t="shared" si="11"/>
        <v>T</v>
      </c>
      <c r="AJ19" s="208" t="str">
        <f t="shared" si="11"/>
        <v>T</v>
      </c>
      <c r="AK19" s="209" t="str">
        <f t="shared" si="11"/>
        <v>T</v>
      </c>
      <c r="AL19" s="208" t="str">
        <f t="shared" si="11"/>
        <v>T</v>
      </c>
      <c r="AM19" s="208" t="str">
        <f t="shared" si="11"/>
        <v>T</v>
      </c>
      <c r="AN19" s="208" t="str">
        <f t="shared" si="11"/>
        <v>T</v>
      </c>
      <c r="AO19" s="208" t="str">
        <f t="shared" si="11"/>
        <v>T</v>
      </c>
      <c r="AP19" s="208" t="str">
        <f t="shared" si="11"/>
        <v>T</v>
      </c>
      <c r="AQ19" s="208" t="str">
        <f t="shared" si="11"/>
        <v>T</v>
      </c>
      <c r="AR19" s="208" t="str">
        <f t="shared" si="11"/>
        <v>T</v>
      </c>
      <c r="AS19" s="208" t="str">
        <f t="shared" si="11"/>
        <v>T</v>
      </c>
      <c r="AT19" s="208" t="str">
        <f t="shared" si="11"/>
        <v>T</v>
      </c>
      <c r="AU19" s="209" t="str">
        <f t="shared" si="11"/>
        <v>T</v>
      </c>
      <c r="AV19" s="208" t="str">
        <f t="shared" si="11"/>
        <v>T</v>
      </c>
      <c r="AW19" s="208" t="str">
        <f t="shared" si="11"/>
        <v>T</v>
      </c>
      <c r="AX19" s="208" t="str">
        <f t="shared" si="11"/>
        <v>T</v>
      </c>
      <c r="AY19" s="208" t="str">
        <f t="shared" si="11"/>
        <v>T</v>
      </c>
      <c r="AZ19" s="208" t="str">
        <f t="shared" si="11"/>
        <v>T</v>
      </c>
      <c r="BA19" s="208" t="str">
        <f t="shared" si="11"/>
        <v>T</v>
      </c>
      <c r="BB19" s="208" t="str">
        <f t="shared" si="11"/>
        <v>T</v>
      </c>
      <c r="BC19" s="208" t="str">
        <f t="shared" si="11"/>
        <v>T</v>
      </c>
      <c r="BD19" s="208" t="str">
        <f t="shared" si="11"/>
        <v>T</v>
      </c>
      <c r="BE19" s="209" t="str">
        <f t="shared" si="11"/>
        <v>T</v>
      </c>
      <c r="BF19" s="208" t="str">
        <f t="shared" si="11"/>
        <v>T</v>
      </c>
      <c r="BG19" s="208" t="str">
        <f t="shared" si="11"/>
        <v>T</v>
      </c>
      <c r="BH19" s="208" t="str">
        <f t="shared" si="11"/>
        <v>T</v>
      </c>
      <c r="BI19" s="208" t="str">
        <f t="shared" si="11"/>
        <v>T</v>
      </c>
      <c r="BJ19" s="208" t="str">
        <f t="shared" si="11"/>
        <v>T</v>
      </c>
      <c r="BK19" s="208" t="str">
        <f t="shared" si="11"/>
        <v>T</v>
      </c>
      <c r="BL19" s="208" t="str">
        <f t="shared" si="11"/>
        <v>T</v>
      </c>
      <c r="BM19" s="208" t="str">
        <f t="shared" si="11"/>
        <v>T</v>
      </c>
      <c r="BN19" s="208" t="str">
        <f t="shared" si="11"/>
        <v>T</v>
      </c>
      <c r="BO19" s="209" t="str">
        <f t="shared" si="11"/>
        <v>T</v>
      </c>
      <c r="BP19" s="208" t="str">
        <f t="shared" si="11"/>
        <v>T</v>
      </c>
      <c r="BQ19" s="208" t="str">
        <f t="shared" si="11"/>
        <v>T</v>
      </c>
      <c r="BR19" s="208" t="str">
        <f t="shared" si="11"/>
        <v>T</v>
      </c>
      <c r="BS19" s="208" t="str">
        <f t="shared" ref="BS19:DC19" si="12">IF(AND(BS$3&gt;=$E19,BS$3&lt;=$F19),"T","F")</f>
        <v>T</v>
      </c>
      <c r="BT19" s="208" t="str">
        <f t="shared" si="12"/>
        <v>T</v>
      </c>
      <c r="BU19" s="208" t="str">
        <f t="shared" si="12"/>
        <v>T</v>
      </c>
      <c r="BV19" s="208" t="str">
        <f t="shared" si="12"/>
        <v>T</v>
      </c>
      <c r="BW19" s="208" t="str">
        <f t="shared" si="12"/>
        <v>T</v>
      </c>
      <c r="BX19" s="208" t="str">
        <f t="shared" si="12"/>
        <v>F</v>
      </c>
      <c r="BY19" s="209" t="str">
        <f t="shared" si="12"/>
        <v>F</v>
      </c>
      <c r="BZ19" s="208" t="str">
        <f t="shared" si="12"/>
        <v>F</v>
      </c>
      <c r="CA19" s="208" t="str">
        <f t="shared" si="12"/>
        <v>F</v>
      </c>
      <c r="CB19" s="208" t="str">
        <f t="shared" si="12"/>
        <v>F</v>
      </c>
      <c r="CC19" s="208" t="str">
        <f t="shared" si="12"/>
        <v>F</v>
      </c>
      <c r="CD19" s="208" t="str">
        <f t="shared" si="12"/>
        <v>F</v>
      </c>
      <c r="CE19" s="208" t="str">
        <f t="shared" si="12"/>
        <v>F</v>
      </c>
      <c r="CF19" s="208" t="str">
        <f t="shared" si="12"/>
        <v>F</v>
      </c>
      <c r="CG19" s="208" t="str">
        <f t="shared" si="12"/>
        <v>F</v>
      </c>
      <c r="CH19" s="208" t="str">
        <f t="shared" si="12"/>
        <v>F</v>
      </c>
      <c r="CI19" s="219" t="str">
        <f t="shared" si="12"/>
        <v>F</v>
      </c>
      <c r="CJ19" s="218" t="str">
        <f t="shared" si="12"/>
        <v>F</v>
      </c>
      <c r="CK19" s="218" t="str">
        <f t="shared" si="12"/>
        <v>F</v>
      </c>
      <c r="CL19" s="218" t="str">
        <f t="shared" si="12"/>
        <v>F</v>
      </c>
      <c r="CM19" s="218" t="str">
        <f t="shared" si="12"/>
        <v>F</v>
      </c>
      <c r="CN19" s="218" t="str">
        <f t="shared" si="12"/>
        <v>F</v>
      </c>
      <c r="CO19" s="218" t="str">
        <f t="shared" si="12"/>
        <v>F</v>
      </c>
      <c r="CP19" s="218" t="str">
        <f t="shared" si="12"/>
        <v>F</v>
      </c>
      <c r="CQ19" s="218" t="str">
        <f t="shared" si="12"/>
        <v>F</v>
      </c>
      <c r="CR19" s="218" t="str">
        <f t="shared" si="12"/>
        <v>F</v>
      </c>
      <c r="CS19" s="219" t="str">
        <f t="shared" si="12"/>
        <v>F</v>
      </c>
      <c r="CT19" s="218" t="str">
        <f t="shared" si="12"/>
        <v>F</v>
      </c>
      <c r="CU19" s="218" t="str">
        <f t="shared" si="12"/>
        <v>F</v>
      </c>
      <c r="CV19" s="218" t="str">
        <f t="shared" si="12"/>
        <v>F</v>
      </c>
      <c r="CW19" s="218" t="str">
        <f t="shared" si="12"/>
        <v>F</v>
      </c>
      <c r="CX19" s="218" t="str">
        <f t="shared" si="12"/>
        <v>F</v>
      </c>
      <c r="CY19" s="208" t="str">
        <f t="shared" si="12"/>
        <v>F</v>
      </c>
      <c r="CZ19" s="208" t="str">
        <f t="shared" si="12"/>
        <v>F</v>
      </c>
      <c r="DA19" s="208" t="str">
        <f t="shared" si="12"/>
        <v>F</v>
      </c>
      <c r="DB19" s="208" t="str">
        <f t="shared" si="12"/>
        <v>F</v>
      </c>
      <c r="DC19" s="210" t="str">
        <f t="shared" si="12"/>
        <v>F</v>
      </c>
    </row>
    <row r="20" spans="2:111" x14ac:dyDescent="0.2">
      <c r="B20" s="205"/>
      <c r="C20" s="882"/>
      <c r="D20" s="206"/>
      <c r="E20" s="247"/>
      <c r="F20" s="207"/>
      <c r="G20" s="220"/>
      <c r="H20" s="221"/>
      <c r="I20" s="221"/>
      <c r="J20" s="221"/>
      <c r="K20" s="221"/>
      <c r="L20" s="221"/>
      <c r="M20" s="221"/>
      <c r="N20" s="221"/>
      <c r="O20" s="221"/>
      <c r="P20" s="221"/>
      <c r="Q20" s="222"/>
      <c r="R20" s="221"/>
      <c r="S20" s="221"/>
      <c r="T20" s="221"/>
      <c r="U20" s="221"/>
      <c r="V20" s="221"/>
      <c r="W20" s="221"/>
      <c r="X20" s="221"/>
      <c r="Y20" s="221"/>
      <c r="Z20" s="221"/>
      <c r="AA20" s="222"/>
      <c r="AB20" s="221"/>
      <c r="AC20" s="221"/>
      <c r="AD20" s="221"/>
      <c r="AE20" s="221"/>
      <c r="AF20" s="221"/>
      <c r="AG20" s="221"/>
      <c r="AH20" s="221"/>
      <c r="AI20" s="221"/>
      <c r="AJ20" s="221"/>
      <c r="AK20" s="222"/>
      <c r="AL20" s="221"/>
      <c r="AM20" s="221"/>
      <c r="AN20" s="221"/>
      <c r="AO20" s="221"/>
      <c r="AP20" s="221"/>
      <c r="AQ20" s="221"/>
      <c r="AR20" s="221"/>
      <c r="AS20" s="221"/>
      <c r="AT20" s="221"/>
      <c r="AU20" s="222"/>
      <c r="AV20" s="221"/>
      <c r="AW20" s="221"/>
      <c r="AX20" s="221"/>
      <c r="AY20" s="221"/>
      <c r="AZ20" s="221"/>
      <c r="BA20" s="221"/>
      <c r="BB20" s="221"/>
      <c r="BC20" s="221"/>
      <c r="BD20" s="221"/>
      <c r="BE20" s="222"/>
      <c r="BF20" s="221"/>
      <c r="BG20" s="221"/>
      <c r="BH20" s="221"/>
      <c r="BI20" s="221"/>
      <c r="BJ20" s="221"/>
      <c r="BK20" s="221"/>
      <c r="BL20" s="221"/>
      <c r="BM20" s="221"/>
      <c r="BN20" s="221"/>
      <c r="BO20" s="222"/>
      <c r="BP20" s="221"/>
      <c r="BQ20" s="221"/>
      <c r="BR20" s="221"/>
      <c r="BS20" s="221"/>
      <c r="BT20" s="221"/>
      <c r="BU20" s="221"/>
      <c r="BV20" s="221"/>
      <c r="BW20" s="221"/>
      <c r="BX20" s="221"/>
      <c r="BY20" s="222"/>
      <c r="BZ20" s="221"/>
      <c r="CA20" s="221"/>
      <c r="CB20" s="221"/>
      <c r="CC20" s="221"/>
      <c r="CD20" s="221"/>
      <c r="CE20" s="221"/>
      <c r="CF20" s="221"/>
      <c r="CG20" s="221"/>
      <c r="CH20" s="221"/>
      <c r="CI20" s="222"/>
      <c r="CJ20" s="221"/>
      <c r="CK20" s="221"/>
      <c r="CL20" s="221"/>
      <c r="CM20" s="221"/>
      <c r="CN20" s="221"/>
      <c r="CO20" s="221"/>
      <c r="CP20" s="221"/>
      <c r="CQ20" s="221"/>
      <c r="CR20" s="221"/>
      <c r="CS20" s="222"/>
      <c r="CT20" s="221"/>
      <c r="CU20" s="221"/>
      <c r="CV20" s="221"/>
      <c r="CW20" s="221"/>
      <c r="CX20" s="221"/>
      <c r="CY20" s="221"/>
      <c r="CZ20" s="221"/>
      <c r="DA20" s="221"/>
      <c r="DB20" s="221"/>
      <c r="DC20" s="223"/>
    </row>
    <row r="21" spans="2:111" ht="24" x14ac:dyDescent="0.2">
      <c r="B21" s="205"/>
      <c r="C21" s="882"/>
      <c r="D21" s="206" t="str">
        <f>'Technologies Matrix'!B18</f>
        <v>Stormwater: Bioretention / Soil Media Filters - Loamy Soils (no compost)</v>
      </c>
      <c r="E21" s="247">
        <f>'Technologies Matrix'!S18</f>
        <v>9</v>
      </c>
      <c r="F21" s="207">
        <f>'Technologies Matrix'!T18</f>
        <v>32</v>
      </c>
      <c r="G21" s="209" t="str">
        <f t="shared" ref="G21:BR21" si="13">IF(AND(G$3&gt;=$E21,G$3&lt;=$F21),"T","F")</f>
        <v>F</v>
      </c>
      <c r="H21" s="208" t="str">
        <f t="shared" si="13"/>
        <v>F</v>
      </c>
      <c r="I21" s="208" t="str">
        <f t="shared" si="13"/>
        <v>F</v>
      </c>
      <c r="J21" s="208" t="str">
        <f t="shared" si="13"/>
        <v>F</v>
      </c>
      <c r="K21" s="208" t="str">
        <f t="shared" si="13"/>
        <v>F</v>
      </c>
      <c r="L21" s="208" t="str">
        <f t="shared" si="13"/>
        <v>F</v>
      </c>
      <c r="M21" s="208" t="str">
        <f t="shared" si="13"/>
        <v>F</v>
      </c>
      <c r="N21" s="208" t="str">
        <f t="shared" si="13"/>
        <v>F</v>
      </c>
      <c r="O21" s="208" t="str">
        <f t="shared" si="13"/>
        <v>F</v>
      </c>
      <c r="P21" s="208" t="str">
        <f t="shared" si="13"/>
        <v>T</v>
      </c>
      <c r="Q21" s="209" t="str">
        <f t="shared" si="13"/>
        <v>T</v>
      </c>
      <c r="R21" s="208" t="str">
        <f t="shared" si="13"/>
        <v>T</v>
      </c>
      <c r="S21" s="208" t="str">
        <f t="shared" si="13"/>
        <v>T</v>
      </c>
      <c r="T21" s="208" t="str">
        <f t="shared" si="13"/>
        <v>T</v>
      </c>
      <c r="U21" s="208" t="str">
        <f t="shared" si="13"/>
        <v>T</v>
      </c>
      <c r="V21" s="208" t="str">
        <f t="shared" si="13"/>
        <v>T</v>
      </c>
      <c r="W21" s="208" t="str">
        <f t="shared" si="13"/>
        <v>T</v>
      </c>
      <c r="X21" s="208" t="str">
        <f t="shared" si="13"/>
        <v>T</v>
      </c>
      <c r="Y21" s="208" t="str">
        <f t="shared" si="13"/>
        <v>T</v>
      </c>
      <c r="Z21" s="208" t="str">
        <f t="shared" si="13"/>
        <v>T</v>
      </c>
      <c r="AA21" s="209" t="str">
        <f t="shared" si="13"/>
        <v>T</v>
      </c>
      <c r="AB21" s="208" t="str">
        <f t="shared" si="13"/>
        <v>T</v>
      </c>
      <c r="AC21" s="208" t="str">
        <f t="shared" si="13"/>
        <v>T</v>
      </c>
      <c r="AD21" s="208" t="str">
        <f t="shared" si="13"/>
        <v>T</v>
      </c>
      <c r="AE21" s="208" t="str">
        <f t="shared" si="13"/>
        <v>T</v>
      </c>
      <c r="AF21" s="208" t="str">
        <f t="shared" si="13"/>
        <v>T</v>
      </c>
      <c r="AG21" s="208" t="str">
        <f t="shared" si="13"/>
        <v>T</v>
      </c>
      <c r="AH21" s="208" t="str">
        <f t="shared" si="13"/>
        <v>T</v>
      </c>
      <c r="AI21" s="208" t="str">
        <f t="shared" si="13"/>
        <v>T</v>
      </c>
      <c r="AJ21" s="208" t="str">
        <f t="shared" si="13"/>
        <v>T</v>
      </c>
      <c r="AK21" s="209" t="str">
        <f t="shared" si="13"/>
        <v>T</v>
      </c>
      <c r="AL21" s="208" t="str">
        <f t="shared" si="13"/>
        <v>T</v>
      </c>
      <c r="AM21" s="208" t="str">
        <f t="shared" si="13"/>
        <v>T</v>
      </c>
      <c r="AN21" s="208" t="str">
        <f t="shared" si="13"/>
        <v>F</v>
      </c>
      <c r="AO21" s="208" t="str">
        <f t="shared" si="13"/>
        <v>F</v>
      </c>
      <c r="AP21" s="208" t="str">
        <f t="shared" si="13"/>
        <v>F</v>
      </c>
      <c r="AQ21" s="208" t="str">
        <f t="shared" si="13"/>
        <v>F</v>
      </c>
      <c r="AR21" s="208" t="str">
        <f t="shared" si="13"/>
        <v>F</v>
      </c>
      <c r="AS21" s="208" t="str">
        <f t="shared" si="13"/>
        <v>F</v>
      </c>
      <c r="AT21" s="208" t="str">
        <f t="shared" si="13"/>
        <v>F</v>
      </c>
      <c r="AU21" s="209" t="str">
        <f t="shared" si="13"/>
        <v>F</v>
      </c>
      <c r="AV21" s="208" t="str">
        <f t="shared" si="13"/>
        <v>F</v>
      </c>
      <c r="AW21" s="208" t="str">
        <f t="shared" si="13"/>
        <v>F</v>
      </c>
      <c r="AX21" s="208" t="str">
        <f t="shared" si="13"/>
        <v>F</v>
      </c>
      <c r="AY21" s="208" t="str">
        <f t="shared" si="13"/>
        <v>F</v>
      </c>
      <c r="AZ21" s="208" t="str">
        <f t="shared" si="13"/>
        <v>F</v>
      </c>
      <c r="BA21" s="208" t="str">
        <f t="shared" si="13"/>
        <v>F</v>
      </c>
      <c r="BB21" s="208" t="str">
        <f t="shared" si="13"/>
        <v>F</v>
      </c>
      <c r="BC21" s="208" t="str">
        <f t="shared" si="13"/>
        <v>F</v>
      </c>
      <c r="BD21" s="208" t="str">
        <f t="shared" si="13"/>
        <v>F</v>
      </c>
      <c r="BE21" s="209" t="str">
        <f t="shared" si="13"/>
        <v>F</v>
      </c>
      <c r="BF21" s="208" t="str">
        <f t="shared" si="13"/>
        <v>F</v>
      </c>
      <c r="BG21" s="208" t="str">
        <f t="shared" si="13"/>
        <v>F</v>
      </c>
      <c r="BH21" s="208" t="str">
        <f t="shared" si="13"/>
        <v>F</v>
      </c>
      <c r="BI21" s="208" t="str">
        <f t="shared" si="13"/>
        <v>F</v>
      </c>
      <c r="BJ21" s="208" t="str">
        <f t="shared" si="13"/>
        <v>F</v>
      </c>
      <c r="BK21" s="208" t="str">
        <f t="shared" si="13"/>
        <v>F</v>
      </c>
      <c r="BL21" s="208" t="str">
        <f t="shared" si="13"/>
        <v>F</v>
      </c>
      <c r="BM21" s="208" t="str">
        <f t="shared" si="13"/>
        <v>F</v>
      </c>
      <c r="BN21" s="208" t="str">
        <f t="shared" si="13"/>
        <v>F</v>
      </c>
      <c r="BO21" s="209" t="str">
        <f t="shared" si="13"/>
        <v>F</v>
      </c>
      <c r="BP21" s="208" t="str">
        <f t="shared" si="13"/>
        <v>F</v>
      </c>
      <c r="BQ21" s="208" t="str">
        <f t="shared" si="13"/>
        <v>F</v>
      </c>
      <c r="BR21" s="208" t="str">
        <f t="shared" si="13"/>
        <v>F</v>
      </c>
      <c r="BS21" s="208" t="str">
        <f t="shared" ref="BS21:DC21" si="14">IF(AND(BS$3&gt;=$E21,BS$3&lt;=$F21),"T","F")</f>
        <v>F</v>
      </c>
      <c r="BT21" s="208" t="str">
        <f t="shared" si="14"/>
        <v>F</v>
      </c>
      <c r="BU21" s="208" t="str">
        <f t="shared" si="14"/>
        <v>F</v>
      </c>
      <c r="BV21" s="208" t="str">
        <f t="shared" si="14"/>
        <v>F</v>
      </c>
      <c r="BW21" s="208" t="str">
        <f t="shared" si="14"/>
        <v>F</v>
      </c>
      <c r="BX21" s="208" t="str">
        <f t="shared" si="14"/>
        <v>F</v>
      </c>
      <c r="BY21" s="209" t="str">
        <f t="shared" si="14"/>
        <v>F</v>
      </c>
      <c r="BZ21" s="208" t="str">
        <f t="shared" si="14"/>
        <v>F</v>
      </c>
      <c r="CA21" s="208" t="str">
        <f t="shared" si="14"/>
        <v>F</v>
      </c>
      <c r="CB21" s="208" t="str">
        <f t="shared" si="14"/>
        <v>F</v>
      </c>
      <c r="CC21" s="208" t="str">
        <f t="shared" si="14"/>
        <v>F</v>
      </c>
      <c r="CD21" s="208" t="str">
        <f t="shared" si="14"/>
        <v>F</v>
      </c>
      <c r="CE21" s="208" t="str">
        <f t="shared" si="14"/>
        <v>F</v>
      </c>
      <c r="CF21" s="208" t="str">
        <f t="shared" si="14"/>
        <v>F</v>
      </c>
      <c r="CG21" s="208" t="str">
        <f t="shared" si="14"/>
        <v>F</v>
      </c>
      <c r="CH21" s="208" t="str">
        <f t="shared" si="14"/>
        <v>F</v>
      </c>
      <c r="CI21" s="219" t="str">
        <f t="shared" si="14"/>
        <v>F</v>
      </c>
      <c r="CJ21" s="218" t="str">
        <f t="shared" si="14"/>
        <v>F</v>
      </c>
      <c r="CK21" s="218" t="str">
        <f t="shared" si="14"/>
        <v>F</v>
      </c>
      <c r="CL21" s="218" t="str">
        <f t="shared" si="14"/>
        <v>F</v>
      </c>
      <c r="CM21" s="218" t="str">
        <f t="shared" si="14"/>
        <v>F</v>
      </c>
      <c r="CN21" s="218" t="str">
        <f t="shared" si="14"/>
        <v>F</v>
      </c>
      <c r="CO21" s="218" t="str">
        <f t="shared" si="14"/>
        <v>F</v>
      </c>
      <c r="CP21" s="218" t="str">
        <f t="shared" si="14"/>
        <v>F</v>
      </c>
      <c r="CQ21" s="218" t="str">
        <f t="shared" si="14"/>
        <v>F</v>
      </c>
      <c r="CR21" s="218" t="str">
        <f t="shared" si="14"/>
        <v>F</v>
      </c>
      <c r="CS21" s="219" t="str">
        <f t="shared" si="14"/>
        <v>F</v>
      </c>
      <c r="CT21" s="218" t="str">
        <f t="shared" si="14"/>
        <v>F</v>
      </c>
      <c r="CU21" s="218" t="str">
        <f t="shared" si="14"/>
        <v>F</v>
      </c>
      <c r="CV21" s="218" t="str">
        <f t="shared" si="14"/>
        <v>F</v>
      </c>
      <c r="CW21" s="218" t="str">
        <f t="shared" si="14"/>
        <v>F</v>
      </c>
      <c r="CX21" s="218" t="str">
        <f t="shared" si="14"/>
        <v>F</v>
      </c>
      <c r="CY21" s="208" t="str">
        <f t="shared" si="14"/>
        <v>F</v>
      </c>
      <c r="CZ21" s="208" t="str">
        <f t="shared" si="14"/>
        <v>F</v>
      </c>
      <c r="DA21" s="208" t="str">
        <f t="shared" si="14"/>
        <v>F</v>
      </c>
      <c r="DB21" s="208" t="str">
        <f t="shared" si="14"/>
        <v>F</v>
      </c>
      <c r="DC21" s="210" t="str">
        <f t="shared" si="14"/>
        <v>F</v>
      </c>
    </row>
    <row r="22" spans="2:111" x14ac:dyDescent="0.2">
      <c r="B22" s="205"/>
      <c r="C22" s="882"/>
      <c r="D22" s="206"/>
      <c r="E22" s="247"/>
      <c r="F22" s="207"/>
      <c r="G22" s="220"/>
      <c r="H22" s="221"/>
      <c r="I22" s="221"/>
      <c r="J22" s="221"/>
      <c r="K22" s="221"/>
      <c r="L22" s="221"/>
      <c r="M22" s="221"/>
      <c r="N22" s="221"/>
      <c r="O22" s="221"/>
      <c r="P22" s="221"/>
      <c r="Q22" s="222"/>
      <c r="R22" s="221"/>
      <c r="S22" s="221"/>
      <c r="T22" s="221"/>
      <c r="U22" s="221"/>
      <c r="V22" s="221"/>
      <c r="W22" s="221"/>
      <c r="X22" s="221"/>
      <c r="Y22" s="221"/>
      <c r="Z22" s="221"/>
      <c r="AA22" s="222"/>
      <c r="AB22" s="221"/>
      <c r="AC22" s="221"/>
      <c r="AD22" s="221"/>
      <c r="AE22" s="221"/>
      <c r="AF22" s="221"/>
      <c r="AG22" s="221"/>
      <c r="AH22" s="221"/>
      <c r="AI22" s="221"/>
      <c r="AJ22" s="221"/>
      <c r="AK22" s="222"/>
      <c r="AL22" s="221"/>
      <c r="AM22" s="221"/>
      <c r="AN22" s="221"/>
      <c r="AO22" s="221"/>
      <c r="AP22" s="221"/>
      <c r="AQ22" s="221"/>
      <c r="AR22" s="221"/>
      <c r="AS22" s="221"/>
      <c r="AT22" s="221"/>
      <c r="AU22" s="222"/>
      <c r="AV22" s="221"/>
      <c r="AW22" s="221"/>
      <c r="AX22" s="221"/>
      <c r="AY22" s="221"/>
      <c r="AZ22" s="221"/>
      <c r="BA22" s="221"/>
      <c r="BB22" s="221"/>
      <c r="BC22" s="221"/>
      <c r="BD22" s="221"/>
      <c r="BE22" s="222"/>
      <c r="BF22" s="221"/>
      <c r="BG22" s="221"/>
      <c r="BH22" s="221"/>
      <c r="BI22" s="221"/>
      <c r="BJ22" s="221"/>
      <c r="BK22" s="221"/>
      <c r="BL22" s="221"/>
      <c r="BM22" s="221"/>
      <c r="BN22" s="221"/>
      <c r="BO22" s="222"/>
      <c r="BP22" s="221"/>
      <c r="BQ22" s="221"/>
      <c r="BR22" s="221"/>
      <c r="BS22" s="221"/>
      <c r="BT22" s="221"/>
      <c r="BU22" s="221"/>
      <c r="BV22" s="221"/>
      <c r="BW22" s="221"/>
      <c r="BX22" s="221"/>
      <c r="BY22" s="222"/>
      <c r="BZ22" s="221"/>
      <c r="CA22" s="221"/>
      <c r="CB22" s="221"/>
      <c r="CC22" s="221"/>
      <c r="CD22" s="221"/>
      <c r="CE22" s="221"/>
      <c r="CF22" s="221"/>
      <c r="CG22" s="221"/>
      <c r="CH22" s="221"/>
      <c r="CI22" s="222"/>
      <c r="CJ22" s="221"/>
      <c r="CK22" s="221"/>
      <c r="CL22" s="221"/>
      <c r="CM22" s="221"/>
      <c r="CN22" s="221"/>
      <c r="CO22" s="221"/>
      <c r="CP22" s="221"/>
      <c r="CQ22" s="221"/>
      <c r="CR22" s="221"/>
      <c r="CS22" s="222"/>
      <c r="CT22" s="221"/>
      <c r="CU22" s="221"/>
      <c r="CV22" s="221"/>
      <c r="CW22" s="221"/>
      <c r="CX22" s="221"/>
      <c r="CY22" s="221"/>
      <c r="CZ22" s="221"/>
      <c r="DA22" s="221"/>
      <c r="DB22" s="221"/>
      <c r="DC22" s="223"/>
    </row>
    <row r="23" spans="2:111" x14ac:dyDescent="0.2">
      <c r="B23" s="205"/>
      <c r="C23" s="882"/>
      <c r="D23" s="206" t="str">
        <f>'Technologies Matrix'!B23</f>
        <v>Stormwater: Constructed Wetlands</v>
      </c>
      <c r="E23" s="247">
        <f>'Technologies Matrix'!S23</f>
        <v>50</v>
      </c>
      <c r="F23" s="207">
        <f>'Technologies Matrix'!T23</f>
        <v>90</v>
      </c>
      <c r="G23" s="209" t="str">
        <f t="shared" ref="G23:BR23" si="15">IF(AND(G$3&gt;=$E23,G$3&lt;=$F23),"T","F")</f>
        <v>F</v>
      </c>
      <c r="H23" s="208" t="str">
        <f t="shared" si="15"/>
        <v>F</v>
      </c>
      <c r="I23" s="208" t="str">
        <f t="shared" si="15"/>
        <v>F</v>
      </c>
      <c r="J23" s="208" t="str">
        <f t="shared" si="15"/>
        <v>F</v>
      </c>
      <c r="K23" s="208" t="str">
        <f t="shared" si="15"/>
        <v>F</v>
      </c>
      <c r="L23" s="208" t="str">
        <f t="shared" si="15"/>
        <v>F</v>
      </c>
      <c r="M23" s="208" t="str">
        <f t="shared" si="15"/>
        <v>F</v>
      </c>
      <c r="N23" s="208" t="str">
        <f t="shared" si="15"/>
        <v>F</v>
      </c>
      <c r="O23" s="208" t="str">
        <f t="shared" si="15"/>
        <v>F</v>
      </c>
      <c r="P23" s="208" t="str">
        <f t="shared" si="15"/>
        <v>F</v>
      </c>
      <c r="Q23" s="209" t="str">
        <f t="shared" si="15"/>
        <v>F</v>
      </c>
      <c r="R23" s="208" t="str">
        <f t="shared" si="15"/>
        <v>F</v>
      </c>
      <c r="S23" s="208" t="str">
        <f t="shared" si="15"/>
        <v>F</v>
      </c>
      <c r="T23" s="208" t="str">
        <f t="shared" si="15"/>
        <v>F</v>
      </c>
      <c r="U23" s="208" t="str">
        <f t="shared" si="15"/>
        <v>F</v>
      </c>
      <c r="V23" s="208" t="str">
        <f t="shared" si="15"/>
        <v>F</v>
      </c>
      <c r="W23" s="208" t="str">
        <f t="shared" si="15"/>
        <v>F</v>
      </c>
      <c r="X23" s="208" t="str">
        <f t="shared" si="15"/>
        <v>F</v>
      </c>
      <c r="Y23" s="208" t="str">
        <f t="shared" si="15"/>
        <v>F</v>
      </c>
      <c r="Z23" s="208" t="str">
        <f t="shared" si="15"/>
        <v>F</v>
      </c>
      <c r="AA23" s="209" t="str">
        <f t="shared" si="15"/>
        <v>F</v>
      </c>
      <c r="AB23" s="208" t="str">
        <f t="shared" si="15"/>
        <v>F</v>
      </c>
      <c r="AC23" s="208" t="str">
        <f t="shared" si="15"/>
        <v>F</v>
      </c>
      <c r="AD23" s="208" t="str">
        <f t="shared" si="15"/>
        <v>F</v>
      </c>
      <c r="AE23" s="208" t="str">
        <f t="shared" si="15"/>
        <v>F</v>
      </c>
      <c r="AF23" s="208" t="str">
        <f t="shared" si="15"/>
        <v>F</v>
      </c>
      <c r="AG23" s="208" t="str">
        <f t="shared" si="15"/>
        <v>F</v>
      </c>
      <c r="AH23" s="208" t="str">
        <f t="shared" si="15"/>
        <v>F</v>
      </c>
      <c r="AI23" s="208" t="str">
        <f t="shared" si="15"/>
        <v>F</v>
      </c>
      <c r="AJ23" s="208" t="str">
        <f t="shared" si="15"/>
        <v>F</v>
      </c>
      <c r="AK23" s="209" t="str">
        <f t="shared" si="15"/>
        <v>F</v>
      </c>
      <c r="AL23" s="208" t="str">
        <f t="shared" si="15"/>
        <v>F</v>
      </c>
      <c r="AM23" s="208" t="str">
        <f t="shared" si="15"/>
        <v>F</v>
      </c>
      <c r="AN23" s="208" t="str">
        <f t="shared" si="15"/>
        <v>F</v>
      </c>
      <c r="AO23" s="208" t="str">
        <f t="shared" si="15"/>
        <v>F</v>
      </c>
      <c r="AP23" s="208" t="str">
        <f t="shared" si="15"/>
        <v>F</v>
      </c>
      <c r="AQ23" s="208" t="str">
        <f t="shared" si="15"/>
        <v>F</v>
      </c>
      <c r="AR23" s="208" t="str">
        <f t="shared" si="15"/>
        <v>F</v>
      </c>
      <c r="AS23" s="208" t="str">
        <f t="shared" si="15"/>
        <v>F</v>
      </c>
      <c r="AT23" s="208" t="str">
        <f t="shared" si="15"/>
        <v>F</v>
      </c>
      <c r="AU23" s="209" t="str">
        <f t="shared" si="15"/>
        <v>F</v>
      </c>
      <c r="AV23" s="208" t="str">
        <f t="shared" si="15"/>
        <v>F</v>
      </c>
      <c r="AW23" s="208" t="str">
        <f t="shared" si="15"/>
        <v>F</v>
      </c>
      <c r="AX23" s="208" t="str">
        <f t="shared" si="15"/>
        <v>F</v>
      </c>
      <c r="AY23" s="208" t="str">
        <f t="shared" si="15"/>
        <v>F</v>
      </c>
      <c r="AZ23" s="208" t="str">
        <f t="shared" si="15"/>
        <v>F</v>
      </c>
      <c r="BA23" s="208" t="str">
        <f t="shared" si="15"/>
        <v>F</v>
      </c>
      <c r="BB23" s="208" t="str">
        <f t="shared" si="15"/>
        <v>F</v>
      </c>
      <c r="BC23" s="208" t="str">
        <f t="shared" si="15"/>
        <v>F</v>
      </c>
      <c r="BD23" s="208" t="str">
        <f t="shared" si="15"/>
        <v>F</v>
      </c>
      <c r="BE23" s="209" t="str">
        <f t="shared" si="15"/>
        <v>T</v>
      </c>
      <c r="BF23" s="208" t="str">
        <f t="shared" si="15"/>
        <v>T</v>
      </c>
      <c r="BG23" s="208" t="str">
        <f t="shared" si="15"/>
        <v>T</v>
      </c>
      <c r="BH23" s="208" t="str">
        <f t="shared" si="15"/>
        <v>T</v>
      </c>
      <c r="BI23" s="208" t="str">
        <f t="shared" si="15"/>
        <v>T</v>
      </c>
      <c r="BJ23" s="208" t="str">
        <f t="shared" si="15"/>
        <v>T</v>
      </c>
      <c r="BK23" s="208" t="str">
        <f t="shared" si="15"/>
        <v>T</v>
      </c>
      <c r="BL23" s="208" t="str">
        <f t="shared" si="15"/>
        <v>T</v>
      </c>
      <c r="BM23" s="208" t="str">
        <f t="shared" si="15"/>
        <v>T</v>
      </c>
      <c r="BN23" s="208" t="str">
        <f t="shared" si="15"/>
        <v>T</v>
      </c>
      <c r="BO23" s="209" t="str">
        <f t="shared" si="15"/>
        <v>T</v>
      </c>
      <c r="BP23" s="208" t="str">
        <f t="shared" si="15"/>
        <v>T</v>
      </c>
      <c r="BQ23" s="208" t="str">
        <f t="shared" si="15"/>
        <v>T</v>
      </c>
      <c r="BR23" s="208" t="str">
        <f t="shared" si="15"/>
        <v>T</v>
      </c>
      <c r="BS23" s="208" t="str">
        <f t="shared" ref="BS23:DC23" si="16">IF(AND(BS$3&gt;=$E23,BS$3&lt;=$F23),"T","F")</f>
        <v>T</v>
      </c>
      <c r="BT23" s="208" t="str">
        <f t="shared" si="16"/>
        <v>T</v>
      </c>
      <c r="BU23" s="208" t="str">
        <f t="shared" si="16"/>
        <v>T</v>
      </c>
      <c r="BV23" s="208" t="str">
        <f t="shared" si="16"/>
        <v>T</v>
      </c>
      <c r="BW23" s="208" t="str">
        <f t="shared" si="16"/>
        <v>T</v>
      </c>
      <c r="BX23" s="208" t="str">
        <f t="shared" si="16"/>
        <v>T</v>
      </c>
      <c r="BY23" s="209" t="str">
        <f t="shared" si="16"/>
        <v>T</v>
      </c>
      <c r="BZ23" s="208" t="str">
        <f t="shared" si="16"/>
        <v>T</v>
      </c>
      <c r="CA23" s="208" t="str">
        <f t="shared" si="16"/>
        <v>T</v>
      </c>
      <c r="CB23" s="208" t="str">
        <f t="shared" si="16"/>
        <v>T</v>
      </c>
      <c r="CC23" s="208" t="str">
        <f t="shared" si="16"/>
        <v>T</v>
      </c>
      <c r="CD23" s="208" t="str">
        <f t="shared" si="16"/>
        <v>T</v>
      </c>
      <c r="CE23" s="208" t="str">
        <f t="shared" si="16"/>
        <v>T</v>
      </c>
      <c r="CF23" s="208" t="str">
        <f t="shared" si="16"/>
        <v>T</v>
      </c>
      <c r="CG23" s="208" t="str">
        <f t="shared" si="16"/>
        <v>T</v>
      </c>
      <c r="CH23" s="208" t="str">
        <f t="shared" si="16"/>
        <v>T</v>
      </c>
      <c r="CI23" s="219" t="str">
        <f t="shared" si="16"/>
        <v>T</v>
      </c>
      <c r="CJ23" s="218" t="str">
        <f t="shared" si="16"/>
        <v>T</v>
      </c>
      <c r="CK23" s="218" t="str">
        <f t="shared" si="16"/>
        <v>T</v>
      </c>
      <c r="CL23" s="218" t="str">
        <f t="shared" si="16"/>
        <v>T</v>
      </c>
      <c r="CM23" s="218" t="str">
        <f t="shared" si="16"/>
        <v>T</v>
      </c>
      <c r="CN23" s="218" t="str">
        <f t="shared" si="16"/>
        <v>T</v>
      </c>
      <c r="CO23" s="218" t="str">
        <f t="shared" si="16"/>
        <v>T</v>
      </c>
      <c r="CP23" s="218" t="str">
        <f t="shared" si="16"/>
        <v>T</v>
      </c>
      <c r="CQ23" s="218" t="str">
        <f t="shared" si="16"/>
        <v>T</v>
      </c>
      <c r="CR23" s="218" t="str">
        <f t="shared" si="16"/>
        <v>T</v>
      </c>
      <c r="CS23" s="219" t="str">
        <f t="shared" si="16"/>
        <v>T</v>
      </c>
      <c r="CT23" s="218" t="str">
        <f t="shared" si="16"/>
        <v>F</v>
      </c>
      <c r="CU23" s="218" t="str">
        <f t="shared" si="16"/>
        <v>F</v>
      </c>
      <c r="CV23" s="218" t="str">
        <f t="shared" si="16"/>
        <v>F</v>
      </c>
      <c r="CW23" s="218" t="str">
        <f t="shared" si="16"/>
        <v>F</v>
      </c>
      <c r="CX23" s="218" t="str">
        <f t="shared" si="16"/>
        <v>F</v>
      </c>
      <c r="CY23" s="208" t="str">
        <f t="shared" si="16"/>
        <v>F</v>
      </c>
      <c r="CZ23" s="208" t="str">
        <f t="shared" si="16"/>
        <v>F</v>
      </c>
      <c r="DA23" s="208" t="str">
        <f t="shared" si="16"/>
        <v>F</v>
      </c>
      <c r="DB23" s="208" t="str">
        <f t="shared" si="16"/>
        <v>F</v>
      </c>
      <c r="DC23" s="210" t="str">
        <f t="shared" si="16"/>
        <v>F</v>
      </c>
    </row>
    <row r="24" spans="2:111" s="214" customFormat="1" x14ac:dyDescent="0.2">
      <c r="B24" s="215"/>
      <c r="C24" s="226"/>
      <c r="D24" s="206"/>
      <c r="E24" s="247"/>
      <c r="F24" s="207"/>
      <c r="G24" s="220"/>
      <c r="H24" s="221"/>
      <c r="I24" s="221"/>
      <c r="J24" s="221"/>
      <c r="K24" s="221"/>
      <c r="L24" s="221"/>
      <c r="M24" s="221"/>
      <c r="N24" s="221"/>
      <c r="O24" s="221"/>
      <c r="P24" s="221"/>
      <c r="Q24" s="222"/>
      <c r="R24" s="221"/>
      <c r="S24" s="221"/>
      <c r="T24" s="221"/>
      <c r="U24" s="221"/>
      <c r="V24" s="221"/>
      <c r="W24" s="221"/>
      <c r="X24" s="221"/>
      <c r="Y24" s="221"/>
      <c r="Z24" s="221"/>
      <c r="AA24" s="222"/>
      <c r="AB24" s="221"/>
      <c r="AC24" s="221"/>
      <c r="AD24" s="221"/>
      <c r="AE24" s="221"/>
      <c r="AF24" s="221"/>
      <c r="AG24" s="221"/>
      <c r="AH24" s="221"/>
      <c r="AI24" s="221"/>
      <c r="AJ24" s="221"/>
      <c r="AK24" s="222"/>
      <c r="AL24" s="221"/>
      <c r="AM24" s="221"/>
      <c r="AN24" s="221"/>
      <c r="AO24" s="221"/>
      <c r="AP24" s="221"/>
      <c r="AQ24" s="221"/>
      <c r="AR24" s="221"/>
      <c r="AS24" s="221"/>
      <c r="AT24" s="221"/>
      <c r="AU24" s="222"/>
      <c r="AV24" s="221"/>
      <c r="AW24" s="221"/>
      <c r="AX24" s="221"/>
      <c r="AY24" s="221"/>
      <c r="AZ24" s="221"/>
      <c r="BA24" s="221"/>
      <c r="BB24" s="221"/>
      <c r="BC24" s="221"/>
      <c r="BD24" s="221"/>
      <c r="BE24" s="222"/>
      <c r="BF24" s="221"/>
      <c r="BG24" s="221"/>
      <c r="BH24" s="221"/>
      <c r="BI24" s="221"/>
      <c r="BJ24" s="221"/>
      <c r="BK24" s="221"/>
      <c r="BL24" s="221"/>
      <c r="BM24" s="221"/>
      <c r="BN24" s="221"/>
      <c r="BO24" s="222"/>
      <c r="BP24" s="221"/>
      <c r="BQ24" s="221"/>
      <c r="BR24" s="221"/>
      <c r="BS24" s="221"/>
      <c r="BT24" s="221"/>
      <c r="BU24" s="221"/>
      <c r="BV24" s="221"/>
      <c r="BW24" s="221"/>
      <c r="BX24" s="221"/>
      <c r="BY24" s="222"/>
      <c r="BZ24" s="221"/>
      <c r="CA24" s="221"/>
      <c r="CB24" s="221"/>
      <c r="CC24" s="221"/>
      <c r="CD24" s="221"/>
      <c r="CE24" s="221"/>
      <c r="CF24" s="221"/>
      <c r="CG24" s="221"/>
      <c r="CH24" s="221"/>
      <c r="CI24" s="222"/>
      <c r="CJ24" s="221"/>
      <c r="CK24" s="221"/>
      <c r="CL24" s="221"/>
      <c r="CM24" s="221"/>
      <c r="CN24" s="221"/>
      <c r="CO24" s="221"/>
      <c r="CP24" s="221"/>
      <c r="CQ24" s="221"/>
      <c r="CR24" s="221"/>
      <c r="CS24" s="222"/>
      <c r="CT24" s="221"/>
      <c r="CU24" s="221"/>
      <c r="CV24" s="221"/>
      <c r="CW24" s="221"/>
      <c r="CX24" s="221"/>
      <c r="CY24" s="221"/>
      <c r="CZ24" s="221"/>
      <c r="DA24" s="221"/>
      <c r="DB24" s="221"/>
      <c r="DC24" s="223"/>
      <c r="DD24" s="227"/>
      <c r="DE24" s="227"/>
      <c r="DF24" s="227"/>
      <c r="DG24" s="227"/>
    </row>
    <row r="25" spans="2:111" ht="12.75" customHeight="1" x14ac:dyDescent="0.2">
      <c r="B25" s="205"/>
      <c r="C25" s="883" t="str">
        <f>'Technologies Matrix'!A24</f>
        <v>Innovative and Resource-Management Technologies</v>
      </c>
      <c r="D25" s="206" t="str">
        <f>'Technologies Matrix'!B24</f>
        <v>Aquaculture - Shellfish Cultivated In Estuary Bed</v>
      </c>
      <c r="E25" s="247">
        <f>'Technologies Matrix'!S24</f>
        <v>8</v>
      </c>
      <c r="F25" s="207">
        <f>'Technologies Matrix'!T24</f>
        <v>15</v>
      </c>
      <c r="G25" s="209" t="str">
        <f t="shared" ref="G25:BR31" si="17">IF(AND(G$3&gt;=$E25,G$3&lt;=$F25),"T","F")</f>
        <v>F</v>
      </c>
      <c r="H25" s="208" t="str">
        <f t="shared" si="17"/>
        <v>F</v>
      </c>
      <c r="I25" s="208" t="str">
        <f t="shared" si="17"/>
        <v>F</v>
      </c>
      <c r="J25" s="208" t="str">
        <f t="shared" si="17"/>
        <v>F</v>
      </c>
      <c r="K25" s="208" t="str">
        <f t="shared" si="17"/>
        <v>F</v>
      </c>
      <c r="L25" s="208" t="str">
        <f t="shared" si="17"/>
        <v>F</v>
      </c>
      <c r="M25" s="208" t="str">
        <f t="shared" si="17"/>
        <v>F</v>
      </c>
      <c r="N25" s="208" t="str">
        <f t="shared" si="17"/>
        <v>F</v>
      </c>
      <c r="O25" s="208" t="str">
        <f t="shared" si="17"/>
        <v>T</v>
      </c>
      <c r="P25" s="208" t="str">
        <f t="shared" si="17"/>
        <v>T</v>
      </c>
      <c r="Q25" s="209" t="str">
        <f t="shared" si="17"/>
        <v>T</v>
      </c>
      <c r="R25" s="208" t="str">
        <f t="shared" si="17"/>
        <v>T</v>
      </c>
      <c r="S25" s="208" t="str">
        <f t="shared" si="17"/>
        <v>T</v>
      </c>
      <c r="T25" s="208" t="str">
        <f t="shared" si="17"/>
        <v>T</v>
      </c>
      <c r="U25" s="208" t="str">
        <f t="shared" si="17"/>
        <v>T</v>
      </c>
      <c r="V25" s="208" t="str">
        <f t="shared" si="17"/>
        <v>T</v>
      </c>
      <c r="W25" s="208" t="str">
        <f t="shared" si="17"/>
        <v>F</v>
      </c>
      <c r="X25" s="208" t="str">
        <f t="shared" si="17"/>
        <v>F</v>
      </c>
      <c r="Y25" s="208" t="str">
        <f t="shared" si="17"/>
        <v>F</v>
      </c>
      <c r="Z25" s="208" t="str">
        <f t="shared" si="17"/>
        <v>F</v>
      </c>
      <c r="AA25" s="209" t="str">
        <f t="shared" si="17"/>
        <v>F</v>
      </c>
      <c r="AB25" s="208" t="str">
        <f t="shared" si="17"/>
        <v>F</v>
      </c>
      <c r="AC25" s="208" t="str">
        <f t="shared" si="17"/>
        <v>F</v>
      </c>
      <c r="AD25" s="208" t="str">
        <f t="shared" si="17"/>
        <v>F</v>
      </c>
      <c r="AE25" s="208" t="str">
        <f t="shared" si="17"/>
        <v>F</v>
      </c>
      <c r="AF25" s="208" t="str">
        <f t="shared" si="17"/>
        <v>F</v>
      </c>
      <c r="AG25" s="208" t="str">
        <f t="shared" si="17"/>
        <v>F</v>
      </c>
      <c r="AH25" s="208" t="str">
        <f t="shared" si="17"/>
        <v>F</v>
      </c>
      <c r="AI25" s="208" t="str">
        <f t="shared" si="17"/>
        <v>F</v>
      </c>
      <c r="AJ25" s="208" t="str">
        <f t="shared" si="17"/>
        <v>F</v>
      </c>
      <c r="AK25" s="209" t="str">
        <f t="shared" si="17"/>
        <v>F</v>
      </c>
      <c r="AL25" s="208" t="str">
        <f t="shared" si="17"/>
        <v>F</v>
      </c>
      <c r="AM25" s="208" t="str">
        <f t="shared" si="17"/>
        <v>F</v>
      </c>
      <c r="AN25" s="208" t="str">
        <f t="shared" si="17"/>
        <v>F</v>
      </c>
      <c r="AO25" s="208" t="str">
        <f t="shared" si="17"/>
        <v>F</v>
      </c>
      <c r="AP25" s="208" t="str">
        <f t="shared" si="17"/>
        <v>F</v>
      </c>
      <c r="AQ25" s="208" t="str">
        <f t="shared" si="17"/>
        <v>F</v>
      </c>
      <c r="AR25" s="208" t="str">
        <f t="shared" si="17"/>
        <v>F</v>
      </c>
      <c r="AS25" s="208" t="str">
        <f t="shared" si="17"/>
        <v>F</v>
      </c>
      <c r="AT25" s="208" t="str">
        <f t="shared" si="17"/>
        <v>F</v>
      </c>
      <c r="AU25" s="209" t="str">
        <f t="shared" si="17"/>
        <v>F</v>
      </c>
      <c r="AV25" s="208" t="str">
        <f t="shared" si="17"/>
        <v>F</v>
      </c>
      <c r="AW25" s="208" t="str">
        <f t="shared" si="17"/>
        <v>F</v>
      </c>
      <c r="AX25" s="208" t="str">
        <f t="shared" si="17"/>
        <v>F</v>
      </c>
      <c r="AY25" s="208" t="str">
        <f t="shared" si="17"/>
        <v>F</v>
      </c>
      <c r="AZ25" s="208" t="str">
        <f t="shared" si="17"/>
        <v>F</v>
      </c>
      <c r="BA25" s="208" t="str">
        <f t="shared" si="17"/>
        <v>F</v>
      </c>
      <c r="BB25" s="208" t="str">
        <f t="shared" si="17"/>
        <v>F</v>
      </c>
      <c r="BC25" s="208" t="str">
        <f t="shared" si="17"/>
        <v>F</v>
      </c>
      <c r="BD25" s="208" t="str">
        <f t="shared" si="17"/>
        <v>F</v>
      </c>
      <c r="BE25" s="209" t="str">
        <f t="shared" si="17"/>
        <v>F</v>
      </c>
      <c r="BF25" s="208" t="str">
        <f t="shared" si="17"/>
        <v>F</v>
      </c>
      <c r="BG25" s="208" t="str">
        <f t="shared" si="17"/>
        <v>F</v>
      </c>
      <c r="BH25" s="208" t="str">
        <f t="shared" si="17"/>
        <v>F</v>
      </c>
      <c r="BI25" s="208" t="str">
        <f t="shared" si="17"/>
        <v>F</v>
      </c>
      <c r="BJ25" s="208" t="str">
        <f t="shared" si="17"/>
        <v>F</v>
      </c>
      <c r="BK25" s="208" t="str">
        <f t="shared" si="17"/>
        <v>F</v>
      </c>
      <c r="BL25" s="208" t="str">
        <f t="shared" si="17"/>
        <v>F</v>
      </c>
      <c r="BM25" s="208" t="str">
        <f t="shared" si="17"/>
        <v>F</v>
      </c>
      <c r="BN25" s="208" t="str">
        <f t="shared" si="17"/>
        <v>F</v>
      </c>
      <c r="BO25" s="209" t="str">
        <f t="shared" si="17"/>
        <v>F</v>
      </c>
      <c r="BP25" s="208" t="str">
        <f t="shared" si="17"/>
        <v>F</v>
      </c>
      <c r="BQ25" s="208" t="str">
        <f t="shared" si="17"/>
        <v>F</v>
      </c>
      <c r="BR25" s="208" t="str">
        <f t="shared" si="17"/>
        <v>F</v>
      </c>
      <c r="BS25" s="208" t="str">
        <f t="shared" ref="BS25:DC37" si="18">IF(AND(BS$3&gt;=$E25,BS$3&lt;=$F25),"T","F")</f>
        <v>F</v>
      </c>
      <c r="BT25" s="208" t="str">
        <f t="shared" si="18"/>
        <v>F</v>
      </c>
      <c r="BU25" s="208" t="str">
        <f t="shared" si="18"/>
        <v>F</v>
      </c>
      <c r="BV25" s="208" t="str">
        <f t="shared" si="18"/>
        <v>F</v>
      </c>
      <c r="BW25" s="208" t="str">
        <f t="shared" si="18"/>
        <v>F</v>
      </c>
      <c r="BX25" s="208" t="str">
        <f t="shared" si="18"/>
        <v>F</v>
      </c>
      <c r="BY25" s="209" t="str">
        <f t="shared" si="18"/>
        <v>F</v>
      </c>
      <c r="BZ25" s="208" t="str">
        <f t="shared" si="18"/>
        <v>F</v>
      </c>
      <c r="CA25" s="208" t="str">
        <f t="shared" si="18"/>
        <v>F</v>
      </c>
      <c r="CB25" s="208" t="str">
        <f t="shared" si="18"/>
        <v>F</v>
      </c>
      <c r="CC25" s="208" t="str">
        <f t="shared" si="18"/>
        <v>F</v>
      </c>
      <c r="CD25" s="208" t="str">
        <f t="shared" si="18"/>
        <v>F</v>
      </c>
      <c r="CE25" s="208" t="str">
        <f t="shared" si="18"/>
        <v>F</v>
      </c>
      <c r="CF25" s="208" t="str">
        <f t="shared" si="18"/>
        <v>F</v>
      </c>
      <c r="CG25" s="208" t="str">
        <f t="shared" si="18"/>
        <v>F</v>
      </c>
      <c r="CH25" s="208" t="str">
        <f t="shared" si="18"/>
        <v>F</v>
      </c>
      <c r="CI25" s="209" t="str">
        <f t="shared" si="18"/>
        <v>F</v>
      </c>
      <c r="CJ25" s="208" t="str">
        <f t="shared" si="18"/>
        <v>F</v>
      </c>
      <c r="CK25" s="208" t="str">
        <f t="shared" si="18"/>
        <v>F</v>
      </c>
      <c r="CL25" s="208" t="str">
        <f t="shared" si="18"/>
        <v>F</v>
      </c>
      <c r="CM25" s="208" t="str">
        <f t="shared" si="18"/>
        <v>F</v>
      </c>
      <c r="CN25" s="208" t="str">
        <f t="shared" si="18"/>
        <v>F</v>
      </c>
      <c r="CO25" s="208" t="str">
        <f t="shared" si="18"/>
        <v>F</v>
      </c>
      <c r="CP25" s="208" t="str">
        <f t="shared" si="18"/>
        <v>F</v>
      </c>
      <c r="CQ25" s="208" t="str">
        <f t="shared" si="18"/>
        <v>F</v>
      </c>
      <c r="CR25" s="208" t="str">
        <f t="shared" si="18"/>
        <v>F</v>
      </c>
      <c r="CS25" s="209" t="str">
        <f t="shared" si="18"/>
        <v>F</v>
      </c>
      <c r="CT25" s="208" t="str">
        <f t="shared" si="18"/>
        <v>F</v>
      </c>
      <c r="CU25" s="208" t="str">
        <f t="shared" si="18"/>
        <v>F</v>
      </c>
      <c r="CV25" s="208" t="str">
        <f t="shared" si="18"/>
        <v>F</v>
      </c>
      <c r="CW25" s="208" t="str">
        <f t="shared" si="18"/>
        <v>F</v>
      </c>
      <c r="CX25" s="208" t="str">
        <f t="shared" si="18"/>
        <v>F</v>
      </c>
      <c r="CY25" s="208" t="str">
        <f t="shared" si="18"/>
        <v>F</v>
      </c>
      <c r="CZ25" s="208" t="str">
        <f t="shared" si="18"/>
        <v>F</v>
      </c>
      <c r="DA25" s="208" t="str">
        <f t="shared" si="18"/>
        <v>F</v>
      </c>
      <c r="DB25" s="208" t="str">
        <f t="shared" si="18"/>
        <v>F</v>
      </c>
      <c r="DC25" s="210" t="str">
        <f t="shared" si="18"/>
        <v>F</v>
      </c>
    </row>
    <row r="26" spans="2:111" x14ac:dyDescent="0.2">
      <c r="B26" s="205"/>
      <c r="C26" s="883"/>
      <c r="D26" s="206"/>
      <c r="E26" s="247"/>
      <c r="F26" s="207"/>
      <c r="G26" s="220"/>
      <c r="H26" s="221"/>
      <c r="I26" s="221"/>
      <c r="J26" s="221"/>
      <c r="K26" s="221"/>
      <c r="L26" s="221"/>
      <c r="M26" s="221"/>
      <c r="N26" s="221"/>
      <c r="O26" s="221"/>
      <c r="P26" s="221"/>
      <c r="Q26" s="222"/>
      <c r="R26" s="221"/>
      <c r="S26" s="221"/>
      <c r="T26" s="221"/>
      <c r="U26" s="221"/>
      <c r="V26" s="221"/>
      <c r="W26" s="221"/>
      <c r="X26" s="221"/>
      <c r="Y26" s="221"/>
      <c r="Z26" s="221"/>
      <c r="AA26" s="222"/>
      <c r="AB26" s="221"/>
      <c r="AC26" s="221"/>
      <c r="AD26" s="221"/>
      <c r="AE26" s="221"/>
      <c r="AF26" s="221"/>
      <c r="AG26" s="221"/>
      <c r="AH26" s="221"/>
      <c r="AI26" s="221"/>
      <c r="AJ26" s="221"/>
      <c r="AK26" s="222"/>
      <c r="AL26" s="221"/>
      <c r="AM26" s="221"/>
      <c r="AN26" s="221"/>
      <c r="AO26" s="221"/>
      <c r="AP26" s="221"/>
      <c r="AQ26" s="221"/>
      <c r="AR26" s="221"/>
      <c r="AS26" s="221"/>
      <c r="AT26" s="221"/>
      <c r="AU26" s="222"/>
      <c r="AV26" s="221"/>
      <c r="AW26" s="221"/>
      <c r="AX26" s="221"/>
      <c r="AY26" s="221"/>
      <c r="AZ26" s="221"/>
      <c r="BA26" s="221"/>
      <c r="BB26" s="221"/>
      <c r="BC26" s="221"/>
      <c r="BD26" s="221"/>
      <c r="BE26" s="222"/>
      <c r="BF26" s="221"/>
      <c r="BG26" s="221"/>
      <c r="BH26" s="221"/>
      <c r="BI26" s="221"/>
      <c r="BJ26" s="221"/>
      <c r="BK26" s="221"/>
      <c r="BL26" s="221"/>
      <c r="BM26" s="221"/>
      <c r="BN26" s="221"/>
      <c r="BO26" s="222"/>
      <c r="BP26" s="221"/>
      <c r="BQ26" s="221"/>
      <c r="BR26" s="221"/>
      <c r="BS26" s="221"/>
      <c r="BT26" s="221"/>
      <c r="BU26" s="221"/>
      <c r="BV26" s="221"/>
      <c r="BW26" s="221"/>
      <c r="BX26" s="221"/>
      <c r="BY26" s="222"/>
      <c r="BZ26" s="221"/>
      <c r="CA26" s="221"/>
      <c r="CB26" s="221"/>
      <c r="CC26" s="221"/>
      <c r="CD26" s="221"/>
      <c r="CE26" s="221"/>
      <c r="CF26" s="221"/>
      <c r="CG26" s="221"/>
      <c r="CH26" s="221"/>
      <c r="CI26" s="222"/>
      <c r="CJ26" s="221"/>
      <c r="CK26" s="221"/>
      <c r="CL26" s="221"/>
      <c r="CM26" s="221"/>
      <c r="CN26" s="221"/>
      <c r="CO26" s="221"/>
      <c r="CP26" s="221"/>
      <c r="CQ26" s="221"/>
      <c r="CR26" s="221"/>
      <c r="CS26" s="222"/>
      <c r="CT26" s="221"/>
      <c r="CU26" s="221"/>
      <c r="CV26" s="221"/>
      <c r="CW26" s="221"/>
      <c r="CX26" s="221"/>
      <c r="CY26" s="221"/>
      <c r="CZ26" s="221"/>
      <c r="DA26" s="221"/>
      <c r="DB26" s="221"/>
      <c r="DC26" s="223"/>
    </row>
    <row r="27" spans="2:111" x14ac:dyDescent="0.2">
      <c r="B27" s="205"/>
      <c r="C27" s="883"/>
      <c r="D27" s="206" t="str">
        <f>'Technologies Matrix'!B25</f>
        <v>Aquaculture - Shellfish</v>
      </c>
      <c r="E27" s="247">
        <f>'Technologies Matrix'!S25</f>
        <v>8</v>
      </c>
      <c r="F27" s="207">
        <f>'Technologies Matrix'!T25</f>
        <v>15</v>
      </c>
      <c r="G27" s="209" t="str">
        <f t="shared" si="17"/>
        <v>F</v>
      </c>
      <c r="H27" s="208" t="str">
        <f t="shared" si="17"/>
        <v>F</v>
      </c>
      <c r="I27" s="208" t="str">
        <f t="shared" si="17"/>
        <v>F</v>
      </c>
      <c r="J27" s="208" t="str">
        <f t="shared" si="17"/>
        <v>F</v>
      </c>
      <c r="K27" s="208" t="str">
        <f t="shared" si="17"/>
        <v>F</v>
      </c>
      <c r="L27" s="208" t="str">
        <f t="shared" si="17"/>
        <v>F</v>
      </c>
      <c r="M27" s="208" t="str">
        <f t="shared" si="17"/>
        <v>F</v>
      </c>
      <c r="N27" s="208" t="str">
        <f t="shared" si="17"/>
        <v>F</v>
      </c>
      <c r="O27" s="208" t="str">
        <f t="shared" si="17"/>
        <v>T</v>
      </c>
      <c r="P27" s="208" t="str">
        <f t="shared" si="17"/>
        <v>T</v>
      </c>
      <c r="Q27" s="209" t="str">
        <f t="shared" si="17"/>
        <v>T</v>
      </c>
      <c r="R27" s="208" t="str">
        <f t="shared" si="17"/>
        <v>T</v>
      </c>
      <c r="S27" s="208" t="str">
        <f t="shared" si="17"/>
        <v>T</v>
      </c>
      <c r="T27" s="208" t="str">
        <f t="shared" si="17"/>
        <v>T</v>
      </c>
      <c r="U27" s="208" t="str">
        <f t="shared" si="17"/>
        <v>T</v>
      </c>
      <c r="V27" s="208" t="str">
        <f t="shared" si="17"/>
        <v>T</v>
      </c>
      <c r="W27" s="208" t="str">
        <f t="shared" si="17"/>
        <v>F</v>
      </c>
      <c r="X27" s="208" t="str">
        <f t="shared" si="17"/>
        <v>F</v>
      </c>
      <c r="Y27" s="208" t="str">
        <f t="shared" si="17"/>
        <v>F</v>
      </c>
      <c r="Z27" s="208" t="str">
        <f t="shared" si="17"/>
        <v>F</v>
      </c>
      <c r="AA27" s="209" t="str">
        <f t="shared" si="17"/>
        <v>F</v>
      </c>
      <c r="AB27" s="208" t="str">
        <f t="shared" si="17"/>
        <v>F</v>
      </c>
      <c r="AC27" s="208" t="str">
        <f t="shared" si="17"/>
        <v>F</v>
      </c>
      <c r="AD27" s="208" t="str">
        <f t="shared" si="17"/>
        <v>F</v>
      </c>
      <c r="AE27" s="208" t="str">
        <f t="shared" si="17"/>
        <v>F</v>
      </c>
      <c r="AF27" s="208" t="str">
        <f t="shared" si="17"/>
        <v>F</v>
      </c>
      <c r="AG27" s="208" t="str">
        <f t="shared" si="17"/>
        <v>F</v>
      </c>
      <c r="AH27" s="208" t="str">
        <f t="shared" si="17"/>
        <v>F</v>
      </c>
      <c r="AI27" s="208" t="str">
        <f t="shared" si="17"/>
        <v>F</v>
      </c>
      <c r="AJ27" s="208" t="str">
        <f t="shared" si="17"/>
        <v>F</v>
      </c>
      <c r="AK27" s="209" t="str">
        <f t="shared" si="17"/>
        <v>F</v>
      </c>
      <c r="AL27" s="208" t="str">
        <f t="shared" si="17"/>
        <v>F</v>
      </c>
      <c r="AM27" s="208" t="str">
        <f t="shared" si="17"/>
        <v>F</v>
      </c>
      <c r="AN27" s="208" t="str">
        <f t="shared" si="17"/>
        <v>F</v>
      </c>
      <c r="AO27" s="208" t="str">
        <f t="shared" si="17"/>
        <v>F</v>
      </c>
      <c r="AP27" s="208" t="str">
        <f t="shared" si="17"/>
        <v>F</v>
      </c>
      <c r="AQ27" s="208" t="str">
        <f t="shared" si="17"/>
        <v>F</v>
      </c>
      <c r="AR27" s="208" t="str">
        <f t="shared" si="17"/>
        <v>F</v>
      </c>
      <c r="AS27" s="208" t="str">
        <f t="shared" si="17"/>
        <v>F</v>
      </c>
      <c r="AT27" s="208" t="str">
        <f t="shared" si="17"/>
        <v>F</v>
      </c>
      <c r="AU27" s="209" t="str">
        <f t="shared" si="17"/>
        <v>F</v>
      </c>
      <c r="AV27" s="208" t="str">
        <f t="shared" si="17"/>
        <v>F</v>
      </c>
      <c r="AW27" s="208" t="str">
        <f t="shared" si="17"/>
        <v>F</v>
      </c>
      <c r="AX27" s="208" t="str">
        <f t="shared" si="17"/>
        <v>F</v>
      </c>
      <c r="AY27" s="208" t="str">
        <f t="shared" si="17"/>
        <v>F</v>
      </c>
      <c r="AZ27" s="208" t="str">
        <f t="shared" si="17"/>
        <v>F</v>
      </c>
      <c r="BA27" s="208" t="str">
        <f t="shared" si="17"/>
        <v>F</v>
      </c>
      <c r="BB27" s="208" t="str">
        <f t="shared" si="17"/>
        <v>F</v>
      </c>
      <c r="BC27" s="208" t="str">
        <f t="shared" si="17"/>
        <v>F</v>
      </c>
      <c r="BD27" s="208" t="str">
        <f t="shared" si="17"/>
        <v>F</v>
      </c>
      <c r="BE27" s="209" t="str">
        <f t="shared" si="17"/>
        <v>F</v>
      </c>
      <c r="BF27" s="208" t="str">
        <f t="shared" si="17"/>
        <v>F</v>
      </c>
      <c r="BG27" s="208" t="str">
        <f t="shared" si="17"/>
        <v>F</v>
      </c>
      <c r="BH27" s="208" t="str">
        <f t="shared" si="17"/>
        <v>F</v>
      </c>
      <c r="BI27" s="208" t="str">
        <f t="shared" si="17"/>
        <v>F</v>
      </c>
      <c r="BJ27" s="208" t="str">
        <f t="shared" si="17"/>
        <v>F</v>
      </c>
      <c r="BK27" s="208" t="str">
        <f t="shared" si="17"/>
        <v>F</v>
      </c>
      <c r="BL27" s="208" t="str">
        <f t="shared" si="17"/>
        <v>F</v>
      </c>
      <c r="BM27" s="208" t="str">
        <f t="shared" si="17"/>
        <v>F</v>
      </c>
      <c r="BN27" s="208" t="str">
        <f t="shared" si="17"/>
        <v>F</v>
      </c>
      <c r="BO27" s="209" t="str">
        <f t="shared" si="17"/>
        <v>F</v>
      </c>
      <c r="BP27" s="208" t="str">
        <f t="shared" si="17"/>
        <v>F</v>
      </c>
      <c r="BQ27" s="208" t="str">
        <f t="shared" si="17"/>
        <v>F</v>
      </c>
      <c r="BR27" s="208" t="str">
        <f t="shared" si="17"/>
        <v>F</v>
      </c>
      <c r="BS27" s="208" t="str">
        <f t="shared" si="18"/>
        <v>F</v>
      </c>
      <c r="BT27" s="208" t="str">
        <f t="shared" si="18"/>
        <v>F</v>
      </c>
      <c r="BU27" s="208" t="str">
        <f t="shared" si="18"/>
        <v>F</v>
      </c>
      <c r="BV27" s="208" t="str">
        <f t="shared" si="18"/>
        <v>F</v>
      </c>
      <c r="BW27" s="208" t="str">
        <f t="shared" si="18"/>
        <v>F</v>
      </c>
      <c r="BX27" s="208" t="str">
        <f t="shared" si="18"/>
        <v>F</v>
      </c>
      <c r="BY27" s="209" t="str">
        <f t="shared" si="18"/>
        <v>F</v>
      </c>
      <c r="BZ27" s="208" t="str">
        <f t="shared" si="18"/>
        <v>F</v>
      </c>
      <c r="CA27" s="208" t="str">
        <f t="shared" si="18"/>
        <v>F</v>
      </c>
      <c r="CB27" s="208" t="str">
        <f t="shared" si="18"/>
        <v>F</v>
      </c>
      <c r="CC27" s="208" t="str">
        <f t="shared" si="18"/>
        <v>F</v>
      </c>
      <c r="CD27" s="208" t="str">
        <f t="shared" si="18"/>
        <v>F</v>
      </c>
      <c r="CE27" s="208" t="str">
        <f t="shared" si="18"/>
        <v>F</v>
      </c>
      <c r="CF27" s="208" t="str">
        <f t="shared" si="18"/>
        <v>F</v>
      </c>
      <c r="CG27" s="208" t="str">
        <f t="shared" si="18"/>
        <v>F</v>
      </c>
      <c r="CH27" s="208" t="str">
        <f t="shared" si="18"/>
        <v>F</v>
      </c>
      <c r="CI27" s="209" t="str">
        <f t="shared" si="18"/>
        <v>F</v>
      </c>
      <c r="CJ27" s="208" t="str">
        <f t="shared" si="18"/>
        <v>F</v>
      </c>
      <c r="CK27" s="208" t="str">
        <f t="shared" si="18"/>
        <v>F</v>
      </c>
      <c r="CL27" s="208" t="str">
        <f t="shared" si="18"/>
        <v>F</v>
      </c>
      <c r="CM27" s="208" t="str">
        <f t="shared" si="18"/>
        <v>F</v>
      </c>
      <c r="CN27" s="208" t="str">
        <f t="shared" si="18"/>
        <v>F</v>
      </c>
      <c r="CO27" s="208" t="str">
        <f t="shared" si="18"/>
        <v>F</v>
      </c>
      <c r="CP27" s="208" t="str">
        <f t="shared" si="18"/>
        <v>F</v>
      </c>
      <c r="CQ27" s="208" t="str">
        <f t="shared" si="18"/>
        <v>F</v>
      </c>
      <c r="CR27" s="208" t="str">
        <f t="shared" si="18"/>
        <v>F</v>
      </c>
      <c r="CS27" s="209" t="str">
        <f t="shared" si="18"/>
        <v>F</v>
      </c>
      <c r="CT27" s="208" t="str">
        <f t="shared" si="18"/>
        <v>F</v>
      </c>
      <c r="CU27" s="208" t="str">
        <f t="shared" si="18"/>
        <v>F</v>
      </c>
      <c r="CV27" s="208" t="str">
        <f t="shared" si="18"/>
        <v>F</v>
      </c>
      <c r="CW27" s="208" t="str">
        <f t="shared" si="18"/>
        <v>F</v>
      </c>
      <c r="CX27" s="208" t="str">
        <f t="shared" si="18"/>
        <v>F</v>
      </c>
      <c r="CY27" s="208" t="str">
        <f t="shared" si="18"/>
        <v>F</v>
      </c>
      <c r="CZ27" s="208" t="str">
        <f t="shared" si="18"/>
        <v>F</v>
      </c>
      <c r="DA27" s="208" t="str">
        <f t="shared" si="18"/>
        <v>F</v>
      </c>
      <c r="DB27" s="208" t="str">
        <f t="shared" si="18"/>
        <v>F</v>
      </c>
      <c r="DC27" s="210" t="str">
        <f t="shared" si="18"/>
        <v>F</v>
      </c>
    </row>
    <row r="28" spans="2:111" x14ac:dyDescent="0.2">
      <c r="B28" s="205"/>
      <c r="C28" s="883"/>
      <c r="D28" s="206"/>
      <c r="E28" s="247"/>
      <c r="F28" s="207"/>
      <c r="G28" s="220"/>
      <c r="H28" s="221"/>
      <c r="I28" s="221"/>
      <c r="J28" s="221"/>
      <c r="K28" s="221"/>
      <c r="L28" s="221"/>
      <c r="M28" s="221"/>
      <c r="N28" s="221"/>
      <c r="O28" s="221"/>
      <c r="P28" s="221"/>
      <c r="Q28" s="222"/>
      <c r="R28" s="221"/>
      <c r="S28" s="221"/>
      <c r="T28" s="221"/>
      <c r="U28" s="221"/>
      <c r="V28" s="221"/>
      <c r="W28" s="221"/>
      <c r="X28" s="221"/>
      <c r="Y28" s="221"/>
      <c r="Z28" s="221"/>
      <c r="AA28" s="222"/>
      <c r="AB28" s="221"/>
      <c r="AC28" s="221"/>
      <c r="AD28" s="221"/>
      <c r="AE28" s="221"/>
      <c r="AF28" s="221"/>
      <c r="AG28" s="221"/>
      <c r="AH28" s="221"/>
      <c r="AI28" s="221"/>
      <c r="AJ28" s="221"/>
      <c r="AK28" s="222"/>
      <c r="AL28" s="221"/>
      <c r="AM28" s="221"/>
      <c r="AN28" s="221"/>
      <c r="AO28" s="221"/>
      <c r="AP28" s="221"/>
      <c r="AQ28" s="221"/>
      <c r="AR28" s="221"/>
      <c r="AS28" s="221"/>
      <c r="AT28" s="221"/>
      <c r="AU28" s="222"/>
      <c r="AV28" s="221"/>
      <c r="AW28" s="221"/>
      <c r="AX28" s="221"/>
      <c r="AY28" s="221"/>
      <c r="AZ28" s="221"/>
      <c r="BA28" s="221"/>
      <c r="BB28" s="221"/>
      <c r="BC28" s="221"/>
      <c r="BD28" s="221"/>
      <c r="BE28" s="222"/>
      <c r="BF28" s="221"/>
      <c r="BG28" s="221"/>
      <c r="BH28" s="221"/>
      <c r="BI28" s="221"/>
      <c r="BJ28" s="221"/>
      <c r="BK28" s="221"/>
      <c r="BL28" s="221"/>
      <c r="BM28" s="221"/>
      <c r="BN28" s="221"/>
      <c r="BO28" s="222"/>
      <c r="BP28" s="221"/>
      <c r="BQ28" s="221"/>
      <c r="BR28" s="221"/>
      <c r="BS28" s="221"/>
      <c r="BT28" s="221"/>
      <c r="BU28" s="221"/>
      <c r="BV28" s="221"/>
      <c r="BW28" s="221"/>
      <c r="BX28" s="221"/>
      <c r="BY28" s="222"/>
      <c r="BZ28" s="221"/>
      <c r="CA28" s="221"/>
      <c r="CB28" s="221"/>
      <c r="CC28" s="221"/>
      <c r="CD28" s="221"/>
      <c r="CE28" s="221"/>
      <c r="CF28" s="221"/>
      <c r="CG28" s="221"/>
      <c r="CH28" s="221"/>
      <c r="CI28" s="222"/>
      <c r="CJ28" s="221"/>
      <c r="CK28" s="221"/>
      <c r="CL28" s="221"/>
      <c r="CM28" s="221"/>
      <c r="CN28" s="221"/>
      <c r="CO28" s="221"/>
      <c r="CP28" s="221"/>
      <c r="CQ28" s="221"/>
      <c r="CR28" s="221"/>
      <c r="CS28" s="222"/>
      <c r="CT28" s="221"/>
      <c r="CU28" s="221"/>
      <c r="CV28" s="221"/>
      <c r="CW28" s="221"/>
      <c r="CX28" s="221"/>
      <c r="CY28" s="221"/>
      <c r="CZ28" s="221"/>
      <c r="DA28" s="221"/>
      <c r="DB28" s="221"/>
      <c r="DC28" s="223"/>
    </row>
    <row r="29" spans="2:111" x14ac:dyDescent="0.2">
      <c r="B29" s="205"/>
      <c r="C29" s="883"/>
      <c r="D29" s="206" t="str">
        <f>'Technologies Matrix'!B27</f>
        <v>Aquaculture - Mariculture</v>
      </c>
      <c r="E29" s="247">
        <f>'Technologies Matrix'!S27</f>
        <v>8</v>
      </c>
      <c r="F29" s="207">
        <f>'Technologies Matrix'!T27</f>
        <v>15</v>
      </c>
      <c r="G29" s="209" t="str">
        <f t="shared" si="17"/>
        <v>F</v>
      </c>
      <c r="H29" s="208" t="str">
        <f t="shared" si="17"/>
        <v>F</v>
      </c>
      <c r="I29" s="208" t="str">
        <f t="shared" si="17"/>
        <v>F</v>
      </c>
      <c r="J29" s="208" t="str">
        <f t="shared" si="17"/>
        <v>F</v>
      </c>
      <c r="K29" s="208" t="str">
        <f t="shared" si="17"/>
        <v>F</v>
      </c>
      <c r="L29" s="208" t="str">
        <f t="shared" si="17"/>
        <v>F</v>
      </c>
      <c r="M29" s="208" t="str">
        <f t="shared" si="17"/>
        <v>F</v>
      </c>
      <c r="N29" s="208" t="str">
        <f t="shared" si="17"/>
        <v>F</v>
      </c>
      <c r="O29" s="208" t="str">
        <f t="shared" si="17"/>
        <v>T</v>
      </c>
      <c r="P29" s="208" t="str">
        <f t="shared" si="17"/>
        <v>T</v>
      </c>
      <c r="Q29" s="209" t="str">
        <f t="shared" si="17"/>
        <v>T</v>
      </c>
      <c r="R29" s="208" t="str">
        <f t="shared" si="17"/>
        <v>T</v>
      </c>
      <c r="S29" s="208" t="str">
        <f t="shared" si="17"/>
        <v>T</v>
      </c>
      <c r="T29" s="208" t="str">
        <f t="shared" si="17"/>
        <v>T</v>
      </c>
      <c r="U29" s="208" t="str">
        <f t="shared" si="17"/>
        <v>T</v>
      </c>
      <c r="V29" s="208" t="str">
        <f t="shared" si="17"/>
        <v>T</v>
      </c>
      <c r="W29" s="208" t="str">
        <f t="shared" si="17"/>
        <v>F</v>
      </c>
      <c r="X29" s="208" t="str">
        <f t="shared" si="17"/>
        <v>F</v>
      </c>
      <c r="Y29" s="208" t="str">
        <f t="shared" si="17"/>
        <v>F</v>
      </c>
      <c r="Z29" s="208" t="str">
        <f t="shared" si="17"/>
        <v>F</v>
      </c>
      <c r="AA29" s="209" t="str">
        <f t="shared" si="17"/>
        <v>F</v>
      </c>
      <c r="AB29" s="208" t="str">
        <f t="shared" si="17"/>
        <v>F</v>
      </c>
      <c r="AC29" s="208" t="str">
        <f t="shared" si="17"/>
        <v>F</v>
      </c>
      <c r="AD29" s="208" t="str">
        <f t="shared" si="17"/>
        <v>F</v>
      </c>
      <c r="AE29" s="208" t="str">
        <f t="shared" si="17"/>
        <v>F</v>
      </c>
      <c r="AF29" s="208" t="str">
        <f t="shared" si="17"/>
        <v>F</v>
      </c>
      <c r="AG29" s="208" t="str">
        <f t="shared" si="17"/>
        <v>F</v>
      </c>
      <c r="AH29" s="208" t="str">
        <f t="shared" si="17"/>
        <v>F</v>
      </c>
      <c r="AI29" s="208" t="str">
        <f t="shared" si="17"/>
        <v>F</v>
      </c>
      <c r="AJ29" s="208" t="str">
        <f t="shared" si="17"/>
        <v>F</v>
      </c>
      <c r="AK29" s="209" t="str">
        <f t="shared" si="17"/>
        <v>F</v>
      </c>
      <c r="AL29" s="208" t="str">
        <f t="shared" si="17"/>
        <v>F</v>
      </c>
      <c r="AM29" s="208" t="str">
        <f t="shared" si="17"/>
        <v>F</v>
      </c>
      <c r="AN29" s="208" t="str">
        <f t="shared" si="17"/>
        <v>F</v>
      </c>
      <c r="AO29" s="208" t="str">
        <f t="shared" si="17"/>
        <v>F</v>
      </c>
      <c r="AP29" s="208" t="str">
        <f t="shared" si="17"/>
        <v>F</v>
      </c>
      <c r="AQ29" s="208" t="str">
        <f t="shared" si="17"/>
        <v>F</v>
      </c>
      <c r="AR29" s="208" t="str">
        <f t="shared" si="17"/>
        <v>F</v>
      </c>
      <c r="AS29" s="208" t="str">
        <f t="shared" si="17"/>
        <v>F</v>
      </c>
      <c r="AT29" s="208" t="str">
        <f t="shared" si="17"/>
        <v>F</v>
      </c>
      <c r="AU29" s="209" t="str">
        <f t="shared" si="17"/>
        <v>F</v>
      </c>
      <c r="AV29" s="208" t="str">
        <f t="shared" si="17"/>
        <v>F</v>
      </c>
      <c r="AW29" s="208" t="str">
        <f t="shared" si="17"/>
        <v>F</v>
      </c>
      <c r="AX29" s="208" t="str">
        <f t="shared" si="17"/>
        <v>F</v>
      </c>
      <c r="AY29" s="208" t="str">
        <f t="shared" si="17"/>
        <v>F</v>
      </c>
      <c r="AZ29" s="208" t="str">
        <f t="shared" si="17"/>
        <v>F</v>
      </c>
      <c r="BA29" s="208" t="str">
        <f t="shared" si="17"/>
        <v>F</v>
      </c>
      <c r="BB29" s="208" t="str">
        <f t="shared" si="17"/>
        <v>F</v>
      </c>
      <c r="BC29" s="208" t="str">
        <f t="shared" si="17"/>
        <v>F</v>
      </c>
      <c r="BD29" s="208" t="str">
        <f t="shared" si="17"/>
        <v>F</v>
      </c>
      <c r="BE29" s="209" t="str">
        <f t="shared" si="17"/>
        <v>F</v>
      </c>
      <c r="BF29" s="208" t="str">
        <f t="shared" si="17"/>
        <v>F</v>
      </c>
      <c r="BG29" s="208" t="str">
        <f t="shared" si="17"/>
        <v>F</v>
      </c>
      <c r="BH29" s="208" t="str">
        <f t="shared" si="17"/>
        <v>F</v>
      </c>
      <c r="BI29" s="208" t="str">
        <f t="shared" si="17"/>
        <v>F</v>
      </c>
      <c r="BJ29" s="208" t="str">
        <f t="shared" si="17"/>
        <v>F</v>
      </c>
      <c r="BK29" s="208" t="str">
        <f t="shared" si="17"/>
        <v>F</v>
      </c>
      <c r="BL29" s="208" t="str">
        <f t="shared" si="17"/>
        <v>F</v>
      </c>
      <c r="BM29" s="208" t="str">
        <f t="shared" si="17"/>
        <v>F</v>
      </c>
      <c r="BN29" s="208" t="str">
        <f t="shared" si="17"/>
        <v>F</v>
      </c>
      <c r="BO29" s="209" t="str">
        <f t="shared" si="17"/>
        <v>F</v>
      </c>
      <c r="BP29" s="208" t="str">
        <f t="shared" si="17"/>
        <v>F</v>
      </c>
      <c r="BQ29" s="208" t="str">
        <f t="shared" si="17"/>
        <v>F</v>
      </c>
      <c r="BR29" s="208" t="str">
        <f t="shared" si="17"/>
        <v>F</v>
      </c>
      <c r="BS29" s="208" t="str">
        <f t="shared" si="18"/>
        <v>F</v>
      </c>
      <c r="BT29" s="208" t="str">
        <f t="shared" si="18"/>
        <v>F</v>
      </c>
      <c r="BU29" s="208" t="str">
        <f t="shared" si="18"/>
        <v>F</v>
      </c>
      <c r="BV29" s="208" t="str">
        <f t="shared" si="18"/>
        <v>F</v>
      </c>
      <c r="BW29" s="208" t="str">
        <f t="shared" si="18"/>
        <v>F</v>
      </c>
      <c r="BX29" s="208" t="str">
        <f t="shared" si="18"/>
        <v>F</v>
      </c>
      <c r="BY29" s="209" t="str">
        <f t="shared" si="18"/>
        <v>F</v>
      </c>
      <c r="BZ29" s="208" t="str">
        <f t="shared" si="18"/>
        <v>F</v>
      </c>
      <c r="CA29" s="208" t="str">
        <f t="shared" si="18"/>
        <v>F</v>
      </c>
      <c r="CB29" s="208" t="str">
        <f t="shared" si="18"/>
        <v>F</v>
      </c>
      <c r="CC29" s="208" t="str">
        <f t="shared" si="18"/>
        <v>F</v>
      </c>
      <c r="CD29" s="208" t="str">
        <f t="shared" si="18"/>
        <v>F</v>
      </c>
      <c r="CE29" s="208" t="str">
        <f t="shared" si="18"/>
        <v>F</v>
      </c>
      <c r="CF29" s="208" t="str">
        <f t="shared" si="18"/>
        <v>F</v>
      </c>
      <c r="CG29" s="208" t="str">
        <f t="shared" si="18"/>
        <v>F</v>
      </c>
      <c r="CH29" s="208" t="str">
        <f t="shared" si="18"/>
        <v>F</v>
      </c>
      <c r="CI29" s="209" t="str">
        <f t="shared" si="18"/>
        <v>F</v>
      </c>
      <c r="CJ29" s="208" t="str">
        <f t="shared" si="18"/>
        <v>F</v>
      </c>
      <c r="CK29" s="208" t="str">
        <f t="shared" si="18"/>
        <v>F</v>
      </c>
      <c r="CL29" s="208" t="str">
        <f t="shared" si="18"/>
        <v>F</v>
      </c>
      <c r="CM29" s="208" t="str">
        <f t="shared" si="18"/>
        <v>F</v>
      </c>
      <c r="CN29" s="208" t="str">
        <f t="shared" si="18"/>
        <v>F</v>
      </c>
      <c r="CO29" s="208" t="str">
        <f t="shared" si="18"/>
        <v>F</v>
      </c>
      <c r="CP29" s="208" t="str">
        <f t="shared" si="18"/>
        <v>F</v>
      </c>
      <c r="CQ29" s="208" t="str">
        <f t="shared" si="18"/>
        <v>F</v>
      </c>
      <c r="CR29" s="208" t="str">
        <f t="shared" si="18"/>
        <v>F</v>
      </c>
      <c r="CS29" s="209" t="str">
        <f t="shared" si="18"/>
        <v>F</v>
      </c>
      <c r="CT29" s="208" t="str">
        <f t="shared" si="18"/>
        <v>F</v>
      </c>
      <c r="CU29" s="208" t="str">
        <f t="shared" si="18"/>
        <v>F</v>
      </c>
      <c r="CV29" s="208" t="str">
        <f t="shared" si="18"/>
        <v>F</v>
      </c>
      <c r="CW29" s="208" t="str">
        <f t="shared" si="18"/>
        <v>F</v>
      </c>
      <c r="CX29" s="208" t="str">
        <f t="shared" si="18"/>
        <v>F</v>
      </c>
      <c r="CY29" s="208" t="str">
        <f t="shared" si="18"/>
        <v>F</v>
      </c>
      <c r="CZ29" s="208" t="str">
        <f t="shared" si="18"/>
        <v>F</v>
      </c>
      <c r="DA29" s="208" t="str">
        <f t="shared" si="18"/>
        <v>F</v>
      </c>
      <c r="DB29" s="208" t="str">
        <f t="shared" si="18"/>
        <v>F</v>
      </c>
      <c r="DC29" s="210" t="str">
        <f t="shared" si="18"/>
        <v>F</v>
      </c>
    </row>
    <row r="30" spans="2:111" x14ac:dyDescent="0.2">
      <c r="B30" s="205"/>
      <c r="C30" s="883"/>
      <c r="D30" s="206"/>
      <c r="E30" s="247"/>
      <c r="F30" s="207"/>
      <c r="G30" s="220"/>
      <c r="H30" s="221"/>
      <c r="I30" s="221"/>
      <c r="J30" s="221"/>
      <c r="K30" s="221"/>
      <c r="L30" s="221"/>
      <c r="M30" s="221"/>
      <c r="N30" s="221"/>
      <c r="O30" s="221"/>
      <c r="P30" s="221"/>
      <c r="Q30" s="222"/>
      <c r="R30" s="221"/>
      <c r="S30" s="221"/>
      <c r="T30" s="221"/>
      <c r="U30" s="221"/>
      <c r="V30" s="221"/>
      <c r="W30" s="221"/>
      <c r="X30" s="221"/>
      <c r="Y30" s="221"/>
      <c r="Z30" s="221"/>
      <c r="AA30" s="222"/>
      <c r="AB30" s="221"/>
      <c r="AC30" s="221"/>
      <c r="AD30" s="221"/>
      <c r="AE30" s="221"/>
      <c r="AF30" s="221"/>
      <c r="AG30" s="221"/>
      <c r="AH30" s="221"/>
      <c r="AI30" s="221"/>
      <c r="AJ30" s="221"/>
      <c r="AK30" s="222"/>
      <c r="AL30" s="221"/>
      <c r="AM30" s="221"/>
      <c r="AN30" s="221"/>
      <c r="AO30" s="221"/>
      <c r="AP30" s="221"/>
      <c r="AQ30" s="221"/>
      <c r="AR30" s="221"/>
      <c r="AS30" s="221"/>
      <c r="AT30" s="221"/>
      <c r="AU30" s="222"/>
      <c r="AV30" s="221"/>
      <c r="AW30" s="221"/>
      <c r="AX30" s="221"/>
      <c r="AY30" s="221"/>
      <c r="AZ30" s="221"/>
      <c r="BA30" s="221"/>
      <c r="BB30" s="221"/>
      <c r="BC30" s="221"/>
      <c r="BD30" s="221"/>
      <c r="BE30" s="222"/>
      <c r="BF30" s="221"/>
      <c r="BG30" s="221"/>
      <c r="BH30" s="221"/>
      <c r="BI30" s="221"/>
      <c r="BJ30" s="221"/>
      <c r="BK30" s="221"/>
      <c r="BL30" s="221"/>
      <c r="BM30" s="221"/>
      <c r="BN30" s="221"/>
      <c r="BO30" s="222"/>
      <c r="BP30" s="221"/>
      <c r="BQ30" s="221"/>
      <c r="BR30" s="221"/>
      <c r="BS30" s="221"/>
      <c r="BT30" s="221"/>
      <c r="BU30" s="221"/>
      <c r="BV30" s="221"/>
      <c r="BW30" s="221"/>
      <c r="BX30" s="221"/>
      <c r="BY30" s="222"/>
      <c r="BZ30" s="221"/>
      <c r="CA30" s="221"/>
      <c r="CB30" s="221"/>
      <c r="CC30" s="221"/>
      <c r="CD30" s="221"/>
      <c r="CE30" s="221"/>
      <c r="CF30" s="221"/>
      <c r="CG30" s="221"/>
      <c r="CH30" s="221"/>
      <c r="CI30" s="222"/>
      <c r="CJ30" s="221"/>
      <c r="CK30" s="221"/>
      <c r="CL30" s="221"/>
      <c r="CM30" s="221"/>
      <c r="CN30" s="221"/>
      <c r="CO30" s="221"/>
      <c r="CP30" s="221"/>
      <c r="CQ30" s="221"/>
      <c r="CR30" s="221"/>
      <c r="CS30" s="222"/>
      <c r="CT30" s="221"/>
      <c r="CU30" s="221"/>
      <c r="CV30" s="221"/>
      <c r="CW30" s="221"/>
      <c r="CX30" s="221"/>
      <c r="CY30" s="221"/>
      <c r="CZ30" s="221"/>
      <c r="DA30" s="221"/>
      <c r="DB30" s="221"/>
      <c r="DC30" s="223"/>
    </row>
    <row r="31" spans="2:111" x14ac:dyDescent="0.2">
      <c r="B31" s="205"/>
      <c r="C31" s="883"/>
      <c r="D31" s="206" t="str">
        <f>'Technologies Matrix'!B28</f>
        <v>Phytoremediation</v>
      </c>
      <c r="E31" s="247">
        <f>'Technologies Matrix'!S28</f>
        <v>50</v>
      </c>
      <c r="F31" s="207">
        <f>'Technologies Matrix'!T28</f>
        <v>90</v>
      </c>
      <c r="G31" s="209" t="str">
        <f t="shared" si="17"/>
        <v>F</v>
      </c>
      <c r="H31" s="208" t="str">
        <f t="shared" si="17"/>
        <v>F</v>
      </c>
      <c r="I31" s="208" t="str">
        <f t="shared" si="17"/>
        <v>F</v>
      </c>
      <c r="J31" s="208" t="str">
        <f t="shared" si="17"/>
        <v>F</v>
      </c>
      <c r="K31" s="208" t="str">
        <f t="shared" si="17"/>
        <v>F</v>
      </c>
      <c r="L31" s="208" t="str">
        <f t="shared" si="17"/>
        <v>F</v>
      </c>
      <c r="M31" s="208" t="str">
        <f t="shared" si="17"/>
        <v>F</v>
      </c>
      <c r="N31" s="208" t="str">
        <f t="shared" si="17"/>
        <v>F</v>
      </c>
      <c r="O31" s="208" t="str">
        <f t="shared" si="17"/>
        <v>F</v>
      </c>
      <c r="P31" s="208" t="str">
        <f t="shared" si="17"/>
        <v>F</v>
      </c>
      <c r="Q31" s="209" t="str">
        <f t="shared" si="17"/>
        <v>F</v>
      </c>
      <c r="R31" s="208" t="str">
        <f t="shared" si="17"/>
        <v>F</v>
      </c>
      <c r="S31" s="208" t="str">
        <f t="shared" si="17"/>
        <v>F</v>
      </c>
      <c r="T31" s="208" t="str">
        <f t="shared" si="17"/>
        <v>F</v>
      </c>
      <c r="U31" s="208" t="str">
        <f t="shared" si="17"/>
        <v>F</v>
      </c>
      <c r="V31" s="208" t="str">
        <f t="shared" si="17"/>
        <v>F</v>
      </c>
      <c r="W31" s="208" t="str">
        <f t="shared" si="17"/>
        <v>F</v>
      </c>
      <c r="X31" s="208" t="str">
        <f t="shared" si="17"/>
        <v>F</v>
      </c>
      <c r="Y31" s="208" t="str">
        <f t="shared" si="17"/>
        <v>F</v>
      </c>
      <c r="Z31" s="208" t="str">
        <f t="shared" si="17"/>
        <v>F</v>
      </c>
      <c r="AA31" s="209" t="str">
        <f t="shared" si="17"/>
        <v>F</v>
      </c>
      <c r="AB31" s="208" t="str">
        <f t="shared" si="17"/>
        <v>F</v>
      </c>
      <c r="AC31" s="208" t="str">
        <f t="shared" si="17"/>
        <v>F</v>
      </c>
      <c r="AD31" s="208" t="str">
        <f t="shared" si="17"/>
        <v>F</v>
      </c>
      <c r="AE31" s="208" t="str">
        <f t="shared" si="17"/>
        <v>F</v>
      </c>
      <c r="AF31" s="208" t="str">
        <f t="shared" si="17"/>
        <v>F</v>
      </c>
      <c r="AG31" s="208" t="str">
        <f t="shared" si="17"/>
        <v>F</v>
      </c>
      <c r="AH31" s="208" t="str">
        <f t="shared" si="17"/>
        <v>F</v>
      </c>
      <c r="AI31" s="208" t="str">
        <f t="shared" si="17"/>
        <v>F</v>
      </c>
      <c r="AJ31" s="208" t="str">
        <f t="shared" si="17"/>
        <v>F</v>
      </c>
      <c r="AK31" s="209" t="str">
        <f t="shared" si="17"/>
        <v>F</v>
      </c>
      <c r="AL31" s="208" t="str">
        <f t="shared" si="17"/>
        <v>F</v>
      </c>
      <c r="AM31" s="208" t="str">
        <f t="shared" si="17"/>
        <v>F</v>
      </c>
      <c r="AN31" s="208" t="str">
        <f t="shared" si="17"/>
        <v>F</v>
      </c>
      <c r="AO31" s="208" t="str">
        <f t="shared" si="17"/>
        <v>F</v>
      </c>
      <c r="AP31" s="208" t="str">
        <f t="shared" si="17"/>
        <v>F</v>
      </c>
      <c r="AQ31" s="208" t="str">
        <f t="shared" si="17"/>
        <v>F</v>
      </c>
      <c r="AR31" s="208" t="str">
        <f t="shared" si="17"/>
        <v>F</v>
      </c>
      <c r="AS31" s="208" t="str">
        <f t="shared" si="17"/>
        <v>F</v>
      </c>
      <c r="AT31" s="208" t="str">
        <f t="shared" si="17"/>
        <v>F</v>
      </c>
      <c r="AU31" s="209" t="str">
        <f t="shared" si="17"/>
        <v>F</v>
      </c>
      <c r="AV31" s="208" t="str">
        <f t="shared" si="17"/>
        <v>F</v>
      </c>
      <c r="AW31" s="208" t="str">
        <f t="shared" si="17"/>
        <v>F</v>
      </c>
      <c r="AX31" s="208" t="str">
        <f t="shared" si="17"/>
        <v>F</v>
      </c>
      <c r="AY31" s="208" t="str">
        <f t="shared" si="17"/>
        <v>F</v>
      </c>
      <c r="AZ31" s="208" t="str">
        <f t="shared" si="17"/>
        <v>F</v>
      </c>
      <c r="BA31" s="208" t="str">
        <f t="shared" si="17"/>
        <v>F</v>
      </c>
      <c r="BB31" s="208" t="str">
        <f t="shared" si="17"/>
        <v>F</v>
      </c>
      <c r="BC31" s="208" t="str">
        <f t="shared" si="17"/>
        <v>F</v>
      </c>
      <c r="BD31" s="208" t="str">
        <f t="shared" si="17"/>
        <v>F</v>
      </c>
      <c r="BE31" s="209" t="str">
        <f t="shared" si="17"/>
        <v>T</v>
      </c>
      <c r="BF31" s="208" t="str">
        <f t="shared" si="17"/>
        <v>T</v>
      </c>
      <c r="BG31" s="208" t="str">
        <f t="shared" si="17"/>
        <v>T</v>
      </c>
      <c r="BH31" s="208" t="str">
        <f t="shared" si="17"/>
        <v>T</v>
      </c>
      <c r="BI31" s="208" t="str">
        <f t="shared" si="17"/>
        <v>T</v>
      </c>
      <c r="BJ31" s="208" t="str">
        <f t="shared" si="17"/>
        <v>T</v>
      </c>
      <c r="BK31" s="208" t="str">
        <f t="shared" si="17"/>
        <v>T</v>
      </c>
      <c r="BL31" s="208" t="str">
        <f t="shared" si="17"/>
        <v>T</v>
      </c>
      <c r="BM31" s="208" t="str">
        <f t="shared" si="17"/>
        <v>T</v>
      </c>
      <c r="BN31" s="208" t="str">
        <f t="shared" si="17"/>
        <v>T</v>
      </c>
      <c r="BO31" s="209" t="str">
        <f>IF(AND(BO$3&gt;=$E31,BO$3&lt;=$F31),"T","F")</f>
        <v>T</v>
      </c>
      <c r="BP31" s="208" t="str">
        <f>IF(AND(BP$3&gt;=$E31,BP$3&lt;=$F31),"T","F")</f>
        <v>T</v>
      </c>
      <c r="BQ31" s="208" t="str">
        <f>IF(AND(BQ$3&gt;=$E31,BQ$3&lt;=$F31),"T","F")</f>
        <v>T</v>
      </c>
      <c r="BR31" s="208" t="str">
        <f>IF(AND(BR$3&gt;=$E31,BR$3&lt;=$F31),"T","F")</f>
        <v>T</v>
      </c>
      <c r="BS31" s="208" t="str">
        <f t="shared" si="18"/>
        <v>T</v>
      </c>
      <c r="BT31" s="208" t="str">
        <f t="shared" si="18"/>
        <v>T</v>
      </c>
      <c r="BU31" s="208" t="str">
        <f t="shared" si="18"/>
        <v>T</v>
      </c>
      <c r="BV31" s="208" t="str">
        <f t="shared" si="18"/>
        <v>T</v>
      </c>
      <c r="BW31" s="208" t="str">
        <f t="shared" si="18"/>
        <v>T</v>
      </c>
      <c r="BX31" s="208" t="str">
        <f t="shared" si="18"/>
        <v>T</v>
      </c>
      <c r="BY31" s="209" t="str">
        <f t="shared" si="18"/>
        <v>T</v>
      </c>
      <c r="BZ31" s="208" t="str">
        <f t="shared" si="18"/>
        <v>T</v>
      </c>
      <c r="CA31" s="208" t="str">
        <f t="shared" si="18"/>
        <v>T</v>
      </c>
      <c r="CB31" s="208" t="str">
        <f t="shared" si="18"/>
        <v>T</v>
      </c>
      <c r="CC31" s="208" t="str">
        <f t="shared" si="18"/>
        <v>T</v>
      </c>
      <c r="CD31" s="208" t="str">
        <f t="shared" si="18"/>
        <v>T</v>
      </c>
      <c r="CE31" s="208" t="str">
        <f t="shared" si="18"/>
        <v>T</v>
      </c>
      <c r="CF31" s="208" t="str">
        <f t="shared" si="18"/>
        <v>T</v>
      </c>
      <c r="CG31" s="208" t="str">
        <f t="shared" si="18"/>
        <v>T</v>
      </c>
      <c r="CH31" s="208" t="str">
        <f t="shared" si="18"/>
        <v>T</v>
      </c>
      <c r="CI31" s="209" t="str">
        <f t="shared" si="18"/>
        <v>T</v>
      </c>
      <c r="CJ31" s="208" t="str">
        <f t="shared" si="18"/>
        <v>T</v>
      </c>
      <c r="CK31" s="208" t="str">
        <f t="shared" si="18"/>
        <v>T</v>
      </c>
      <c r="CL31" s="208" t="str">
        <f t="shared" si="18"/>
        <v>T</v>
      </c>
      <c r="CM31" s="208" t="str">
        <f t="shared" si="18"/>
        <v>T</v>
      </c>
      <c r="CN31" s="208" t="str">
        <f t="shared" si="18"/>
        <v>T</v>
      </c>
      <c r="CO31" s="208" t="str">
        <f t="shared" si="18"/>
        <v>T</v>
      </c>
      <c r="CP31" s="208" t="str">
        <f t="shared" si="18"/>
        <v>T</v>
      </c>
      <c r="CQ31" s="208" t="str">
        <f t="shared" si="18"/>
        <v>T</v>
      </c>
      <c r="CR31" s="208" t="str">
        <f t="shared" si="18"/>
        <v>T</v>
      </c>
      <c r="CS31" s="209" t="str">
        <f t="shared" si="18"/>
        <v>T</v>
      </c>
      <c r="CT31" s="208" t="str">
        <f t="shared" si="18"/>
        <v>F</v>
      </c>
      <c r="CU31" s="208" t="str">
        <f t="shared" si="18"/>
        <v>F</v>
      </c>
      <c r="CV31" s="208" t="str">
        <f t="shared" si="18"/>
        <v>F</v>
      </c>
      <c r="CW31" s="208" t="str">
        <f t="shared" si="18"/>
        <v>F</v>
      </c>
      <c r="CX31" s="208" t="str">
        <f t="shared" si="18"/>
        <v>F</v>
      </c>
      <c r="CY31" s="208" t="str">
        <f t="shared" si="18"/>
        <v>F</v>
      </c>
      <c r="CZ31" s="208" t="str">
        <f t="shared" si="18"/>
        <v>F</v>
      </c>
      <c r="DA31" s="208" t="str">
        <f t="shared" si="18"/>
        <v>F</v>
      </c>
      <c r="DB31" s="208" t="str">
        <f t="shared" si="18"/>
        <v>F</v>
      </c>
      <c r="DC31" s="210" t="str">
        <f t="shared" si="18"/>
        <v>F</v>
      </c>
    </row>
    <row r="32" spans="2:111" x14ac:dyDescent="0.2">
      <c r="B32" s="205"/>
      <c r="C32" s="883"/>
      <c r="D32" s="206"/>
      <c r="E32" s="247"/>
      <c r="F32" s="207"/>
      <c r="G32" s="220"/>
      <c r="H32" s="221"/>
      <c r="I32" s="221"/>
      <c r="J32" s="221"/>
      <c r="K32" s="221"/>
      <c r="L32" s="221"/>
      <c r="M32" s="221"/>
      <c r="N32" s="221"/>
      <c r="O32" s="221"/>
      <c r="P32" s="221"/>
      <c r="Q32" s="222"/>
      <c r="R32" s="221"/>
      <c r="S32" s="221"/>
      <c r="T32" s="221"/>
      <c r="U32" s="221"/>
      <c r="V32" s="221"/>
      <c r="W32" s="221"/>
      <c r="X32" s="221"/>
      <c r="Y32" s="221"/>
      <c r="Z32" s="221"/>
      <c r="AA32" s="222"/>
      <c r="AB32" s="221"/>
      <c r="AC32" s="221"/>
      <c r="AD32" s="221"/>
      <c r="AE32" s="221"/>
      <c r="AF32" s="221"/>
      <c r="AG32" s="221"/>
      <c r="AH32" s="221"/>
      <c r="AI32" s="221"/>
      <c r="AJ32" s="221"/>
      <c r="AK32" s="222"/>
      <c r="AL32" s="221"/>
      <c r="AM32" s="221"/>
      <c r="AN32" s="221"/>
      <c r="AO32" s="221"/>
      <c r="AP32" s="221"/>
      <c r="AQ32" s="221"/>
      <c r="AR32" s="221"/>
      <c r="AS32" s="221"/>
      <c r="AT32" s="221"/>
      <c r="AU32" s="222"/>
      <c r="AV32" s="221"/>
      <c r="AW32" s="221"/>
      <c r="AX32" s="221"/>
      <c r="AY32" s="221"/>
      <c r="AZ32" s="221"/>
      <c r="BA32" s="221"/>
      <c r="BB32" s="221"/>
      <c r="BC32" s="221"/>
      <c r="BD32" s="221"/>
      <c r="BE32" s="222"/>
      <c r="BF32" s="221"/>
      <c r="BG32" s="221"/>
      <c r="BH32" s="221"/>
      <c r="BI32" s="221"/>
      <c r="BJ32" s="221"/>
      <c r="BK32" s="221"/>
      <c r="BL32" s="221"/>
      <c r="BM32" s="221"/>
      <c r="BN32" s="221"/>
      <c r="BO32" s="222"/>
      <c r="BP32" s="221"/>
      <c r="BQ32" s="221"/>
      <c r="BR32" s="221"/>
      <c r="BS32" s="221"/>
      <c r="BT32" s="221"/>
      <c r="BU32" s="221"/>
      <c r="BV32" s="221"/>
      <c r="BW32" s="221"/>
      <c r="BX32" s="221"/>
      <c r="BY32" s="222"/>
      <c r="BZ32" s="221"/>
      <c r="CA32" s="221"/>
      <c r="CB32" s="221"/>
      <c r="CC32" s="221"/>
      <c r="CD32" s="221"/>
      <c r="CE32" s="221"/>
      <c r="CF32" s="221"/>
      <c r="CG32" s="221"/>
      <c r="CH32" s="221"/>
      <c r="CI32" s="222"/>
      <c r="CJ32" s="221"/>
      <c r="CK32" s="221"/>
      <c r="CL32" s="221"/>
      <c r="CM32" s="221"/>
      <c r="CN32" s="221"/>
      <c r="CO32" s="221"/>
      <c r="CP32" s="221"/>
      <c r="CQ32" s="221"/>
      <c r="CR32" s="221"/>
      <c r="CS32" s="222"/>
      <c r="CT32" s="221"/>
      <c r="CU32" s="221"/>
      <c r="CV32" s="221"/>
      <c r="CW32" s="221"/>
      <c r="CX32" s="221"/>
      <c r="CY32" s="221"/>
      <c r="CZ32" s="221"/>
      <c r="DA32" s="221"/>
      <c r="DB32" s="221"/>
      <c r="DC32" s="223"/>
    </row>
    <row r="33" spans="2:111" ht="36" x14ac:dyDescent="0.2">
      <c r="B33" s="205"/>
      <c r="C33" s="883"/>
      <c r="D33" s="206" t="str">
        <f>'Technologies Matrix'!B29</f>
        <v>Permeable Reactive Barriers (PRBs) - Trench Method
(Aquifer Thickness - 
30 feet)</v>
      </c>
      <c r="E33" s="247">
        <f>'Technologies Matrix'!S29</f>
        <v>70</v>
      </c>
      <c r="F33" s="207">
        <f>'Technologies Matrix'!T29</f>
        <v>75</v>
      </c>
      <c r="G33" s="209" t="str">
        <f t="shared" ref="G33:BR33" si="19">IF(AND(G$3&gt;=$E33,G$3&lt;=$F33),"T","F")</f>
        <v>F</v>
      </c>
      <c r="H33" s="208" t="str">
        <f t="shared" si="19"/>
        <v>F</v>
      </c>
      <c r="I33" s="208" t="str">
        <f t="shared" si="19"/>
        <v>F</v>
      </c>
      <c r="J33" s="208" t="str">
        <f t="shared" si="19"/>
        <v>F</v>
      </c>
      <c r="K33" s="208" t="str">
        <f t="shared" si="19"/>
        <v>F</v>
      </c>
      <c r="L33" s="208" t="str">
        <f t="shared" si="19"/>
        <v>F</v>
      </c>
      <c r="M33" s="208" t="str">
        <f t="shared" si="19"/>
        <v>F</v>
      </c>
      <c r="N33" s="208" t="str">
        <f t="shared" si="19"/>
        <v>F</v>
      </c>
      <c r="O33" s="208" t="str">
        <f t="shared" si="19"/>
        <v>F</v>
      </c>
      <c r="P33" s="208" t="str">
        <f t="shared" si="19"/>
        <v>F</v>
      </c>
      <c r="Q33" s="209" t="str">
        <f t="shared" si="19"/>
        <v>F</v>
      </c>
      <c r="R33" s="208" t="str">
        <f t="shared" si="19"/>
        <v>F</v>
      </c>
      <c r="S33" s="208" t="str">
        <f t="shared" si="19"/>
        <v>F</v>
      </c>
      <c r="T33" s="208" t="str">
        <f t="shared" si="19"/>
        <v>F</v>
      </c>
      <c r="U33" s="208" t="str">
        <f t="shared" si="19"/>
        <v>F</v>
      </c>
      <c r="V33" s="208" t="str">
        <f t="shared" si="19"/>
        <v>F</v>
      </c>
      <c r="W33" s="208" t="str">
        <f t="shared" si="19"/>
        <v>F</v>
      </c>
      <c r="X33" s="208" t="str">
        <f t="shared" si="19"/>
        <v>F</v>
      </c>
      <c r="Y33" s="208" t="str">
        <f t="shared" si="19"/>
        <v>F</v>
      </c>
      <c r="Z33" s="208" t="str">
        <f t="shared" si="19"/>
        <v>F</v>
      </c>
      <c r="AA33" s="209" t="str">
        <f t="shared" si="19"/>
        <v>F</v>
      </c>
      <c r="AB33" s="208" t="str">
        <f t="shared" si="19"/>
        <v>F</v>
      </c>
      <c r="AC33" s="208" t="str">
        <f t="shared" si="19"/>
        <v>F</v>
      </c>
      <c r="AD33" s="208" t="str">
        <f t="shared" si="19"/>
        <v>F</v>
      </c>
      <c r="AE33" s="208" t="str">
        <f t="shared" si="19"/>
        <v>F</v>
      </c>
      <c r="AF33" s="208" t="str">
        <f t="shared" si="19"/>
        <v>F</v>
      </c>
      <c r="AG33" s="208" t="str">
        <f t="shared" si="19"/>
        <v>F</v>
      </c>
      <c r="AH33" s="208" t="str">
        <f t="shared" si="19"/>
        <v>F</v>
      </c>
      <c r="AI33" s="208" t="str">
        <f t="shared" si="19"/>
        <v>F</v>
      </c>
      <c r="AJ33" s="208" t="str">
        <f t="shared" si="19"/>
        <v>F</v>
      </c>
      <c r="AK33" s="209" t="str">
        <f t="shared" si="19"/>
        <v>F</v>
      </c>
      <c r="AL33" s="208" t="str">
        <f t="shared" si="19"/>
        <v>F</v>
      </c>
      <c r="AM33" s="208" t="str">
        <f t="shared" si="19"/>
        <v>F</v>
      </c>
      <c r="AN33" s="208" t="str">
        <f t="shared" si="19"/>
        <v>F</v>
      </c>
      <c r="AO33" s="208" t="str">
        <f t="shared" si="19"/>
        <v>F</v>
      </c>
      <c r="AP33" s="208" t="str">
        <f t="shared" si="19"/>
        <v>F</v>
      </c>
      <c r="AQ33" s="208" t="str">
        <f t="shared" si="19"/>
        <v>F</v>
      </c>
      <c r="AR33" s="208" t="str">
        <f t="shared" si="19"/>
        <v>F</v>
      </c>
      <c r="AS33" s="208" t="str">
        <f t="shared" si="19"/>
        <v>F</v>
      </c>
      <c r="AT33" s="208" t="str">
        <f t="shared" si="19"/>
        <v>F</v>
      </c>
      <c r="AU33" s="209" t="str">
        <f t="shared" si="19"/>
        <v>F</v>
      </c>
      <c r="AV33" s="208" t="str">
        <f t="shared" si="19"/>
        <v>F</v>
      </c>
      <c r="AW33" s="208" t="str">
        <f t="shared" si="19"/>
        <v>F</v>
      </c>
      <c r="AX33" s="208" t="str">
        <f t="shared" si="19"/>
        <v>F</v>
      </c>
      <c r="AY33" s="208" t="str">
        <f t="shared" si="19"/>
        <v>F</v>
      </c>
      <c r="AZ33" s="208" t="str">
        <f t="shared" si="19"/>
        <v>F</v>
      </c>
      <c r="BA33" s="208" t="str">
        <f t="shared" si="19"/>
        <v>F</v>
      </c>
      <c r="BB33" s="208" t="str">
        <f t="shared" si="19"/>
        <v>F</v>
      </c>
      <c r="BC33" s="208" t="str">
        <f t="shared" si="19"/>
        <v>F</v>
      </c>
      <c r="BD33" s="208" t="str">
        <f t="shared" si="19"/>
        <v>F</v>
      </c>
      <c r="BE33" s="209" t="str">
        <f t="shared" si="19"/>
        <v>F</v>
      </c>
      <c r="BF33" s="208" t="str">
        <f t="shared" si="19"/>
        <v>F</v>
      </c>
      <c r="BG33" s="208" t="str">
        <f t="shared" si="19"/>
        <v>F</v>
      </c>
      <c r="BH33" s="208" t="str">
        <f t="shared" si="19"/>
        <v>F</v>
      </c>
      <c r="BI33" s="208" t="str">
        <f t="shared" si="19"/>
        <v>F</v>
      </c>
      <c r="BJ33" s="208" t="str">
        <f t="shared" si="19"/>
        <v>F</v>
      </c>
      <c r="BK33" s="208" t="str">
        <f t="shared" si="19"/>
        <v>F</v>
      </c>
      <c r="BL33" s="208" t="str">
        <f t="shared" si="19"/>
        <v>F</v>
      </c>
      <c r="BM33" s="208" t="str">
        <f t="shared" si="19"/>
        <v>F</v>
      </c>
      <c r="BN33" s="208" t="str">
        <f t="shared" si="19"/>
        <v>F</v>
      </c>
      <c r="BO33" s="209" t="str">
        <f t="shared" si="19"/>
        <v>F</v>
      </c>
      <c r="BP33" s="208" t="str">
        <f t="shared" si="19"/>
        <v>F</v>
      </c>
      <c r="BQ33" s="208" t="str">
        <f t="shared" si="19"/>
        <v>F</v>
      </c>
      <c r="BR33" s="208" t="str">
        <f t="shared" si="19"/>
        <v>F</v>
      </c>
      <c r="BS33" s="208" t="str">
        <f t="shared" si="18"/>
        <v>F</v>
      </c>
      <c r="BT33" s="208" t="str">
        <f t="shared" si="18"/>
        <v>F</v>
      </c>
      <c r="BU33" s="208" t="str">
        <f t="shared" si="18"/>
        <v>F</v>
      </c>
      <c r="BV33" s="208" t="str">
        <f t="shared" si="18"/>
        <v>F</v>
      </c>
      <c r="BW33" s="208" t="str">
        <f t="shared" si="18"/>
        <v>F</v>
      </c>
      <c r="BX33" s="208" t="str">
        <f t="shared" si="18"/>
        <v>F</v>
      </c>
      <c r="BY33" s="209" t="str">
        <f t="shared" si="18"/>
        <v>T</v>
      </c>
      <c r="BZ33" s="208" t="str">
        <f t="shared" si="18"/>
        <v>T</v>
      </c>
      <c r="CA33" s="208" t="str">
        <f t="shared" si="18"/>
        <v>T</v>
      </c>
      <c r="CB33" s="208" t="str">
        <f t="shared" si="18"/>
        <v>T</v>
      </c>
      <c r="CC33" s="208" t="str">
        <f t="shared" si="18"/>
        <v>T</v>
      </c>
      <c r="CD33" s="208" t="str">
        <f t="shared" si="18"/>
        <v>T</v>
      </c>
      <c r="CE33" s="208" t="str">
        <f t="shared" si="18"/>
        <v>F</v>
      </c>
      <c r="CF33" s="208" t="str">
        <f t="shared" si="18"/>
        <v>F</v>
      </c>
      <c r="CG33" s="208" t="str">
        <f t="shared" si="18"/>
        <v>F</v>
      </c>
      <c r="CH33" s="208" t="str">
        <f t="shared" si="18"/>
        <v>F</v>
      </c>
      <c r="CI33" s="209" t="str">
        <f t="shared" si="18"/>
        <v>F</v>
      </c>
      <c r="CJ33" s="208" t="str">
        <f t="shared" si="18"/>
        <v>F</v>
      </c>
      <c r="CK33" s="208" t="str">
        <f t="shared" si="18"/>
        <v>F</v>
      </c>
      <c r="CL33" s="208" t="str">
        <f t="shared" si="18"/>
        <v>F</v>
      </c>
      <c r="CM33" s="208" t="str">
        <f t="shared" si="18"/>
        <v>F</v>
      </c>
      <c r="CN33" s="208" t="str">
        <f t="shared" si="18"/>
        <v>F</v>
      </c>
      <c r="CO33" s="208" t="str">
        <f t="shared" si="18"/>
        <v>F</v>
      </c>
      <c r="CP33" s="208" t="str">
        <f t="shared" si="18"/>
        <v>F</v>
      </c>
      <c r="CQ33" s="208" t="str">
        <f t="shared" si="18"/>
        <v>F</v>
      </c>
      <c r="CR33" s="208" t="str">
        <f t="shared" si="18"/>
        <v>F</v>
      </c>
      <c r="CS33" s="209" t="str">
        <f t="shared" si="18"/>
        <v>F</v>
      </c>
      <c r="CT33" s="208" t="str">
        <f t="shared" si="18"/>
        <v>F</v>
      </c>
      <c r="CU33" s="208" t="str">
        <f t="shared" si="18"/>
        <v>F</v>
      </c>
      <c r="CV33" s="208" t="str">
        <f t="shared" si="18"/>
        <v>F</v>
      </c>
      <c r="CW33" s="208" t="str">
        <f t="shared" si="18"/>
        <v>F</v>
      </c>
      <c r="CX33" s="208" t="str">
        <f t="shared" si="18"/>
        <v>F</v>
      </c>
      <c r="CY33" s="208" t="str">
        <f t="shared" si="18"/>
        <v>F</v>
      </c>
      <c r="CZ33" s="208" t="str">
        <f t="shared" si="18"/>
        <v>F</v>
      </c>
      <c r="DA33" s="208" t="str">
        <f t="shared" si="18"/>
        <v>F</v>
      </c>
      <c r="DB33" s="208" t="str">
        <f t="shared" si="18"/>
        <v>F</v>
      </c>
      <c r="DC33" s="210" t="str">
        <f t="shared" si="18"/>
        <v>F</v>
      </c>
    </row>
    <row r="34" spans="2:111" x14ac:dyDescent="0.2">
      <c r="B34" s="205"/>
      <c r="C34" s="883"/>
      <c r="D34" s="206"/>
      <c r="E34" s="247"/>
      <c r="F34" s="207"/>
      <c r="G34" s="220"/>
      <c r="H34" s="221"/>
      <c r="I34" s="221"/>
      <c r="J34" s="221"/>
      <c r="K34" s="221"/>
      <c r="L34" s="221"/>
      <c r="M34" s="221"/>
      <c r="N34" s="221"/>
      <c r="O34" s="221"/>
      <c r="P34" s="221"/>
      <c r="Q34" s="222"/>
      <c r="R34" s="221"/>
      <c r="S34" s="221"/>
      <c r="T34" s="221"/>
      <c r="U34" s="221"/>
      <c r="V34" s="221"/>
      <c r="W34" s="221"/>
      <c r="X34" s="221"/>
      <c r="Y34" s="221"/>
      <c r="Z34" s="221"/>
      <c r="AA34" s="222"/>
      <c r="AB34" s="221"/>
      <c r="AC34" s="221"/>
      <c r="AD34" s="221"/>
      <c r="AE34" s="221"/>
      <c r="AF34" s="221"/>
      <c r="AG34" s="221"/>
      <c r="AH34" s="221"/>
      <c r="AI34" s="221"/>
      <c r="AJ34" s="221"/>
      <c r="AK34" s="222"/>
      <c r="AL34" s="221"/>
      <c r="AM34" s="221"/>
      <c r="AN34" s="221"/>
      <c r="AO34" s="221"/>
      <c r="AP34" s="221"/>
      <c r="AQ34" s="221"/>
      <c r="AR34" s="221"/>
      <c r="AS34" s="221"/>
      <c r="AT34" s="221"/>
      <c r="AU34" s="222"/>
      <c r="AV34" s="221"/>
      <c r="AW34" s="221"/>
      <c r="AX34" s="221"/>
      <c r="AY34" s="221"/>
      <c r="AZ34" s="221"/>
      <c r="BA34" s="221"/>
      <c r="BB34" s="221"/>
      <c r="BC34" s="221"/>
      <c r="BD34" s="221"/>
      <c r="BE34" s="222"/>
      <c r="BF34" s="221"/>
      <c r="BG34" s="221"/>
      <c r="BH34" s="221"/>
      <c r="BI34" s="221"/>
      <c r="BJ34" s="221"/>
      <c r="BK34" s="221"/>
      <c r="BL34" s="221"/>
      <c r="BM34" s="221"/>
      <c r="BN34" s="221"/>
      <c r="BO34" s="222"/>
      <c r="BP34" s="221"/>
      <c r="BQ34" s="221"/>
      <c r="BR34" s="221"/>
      <c r="BS34" s="221"/>
      <c r="BT34" s="221"/>
      <c r="BU34" s="221"/>
      <c r="BV34" s="221"/>
      <c r="BW34" s="221"/>
      <c r="BX34" s="221"/>
      <c r="BY34" s="222"/>
      <c r="BZ34" s="221"/>
      <c r="CA34" s="221"/>
      <c r="CB34" s="221"/>
      <c r="CC34" s="221"/>
      <c r="CD34" s="221"/>
      <c r="CE34" s="221"/>
      <c r="CF34" s="221"/>
      <c r="CG34" s="221"/>
      <c r="CH34" s="221"/>
      <c r="CI34" s="222"/>
      <c r="CJ34" s="221"/>
      <c r="CK34" s="221"/>
      <c r="CL34" s="221"/>
      <c r="CM34" s="221"/>
      <c r="CN34" s="221"/>
      <c r="CO34" s="221"/>
      <c r="CP34" s="221"/>
      <c r="CQ34" s="221"/>
      <c r="CR34" s="221"/>
      <c r="CS34" s="222"/>
      <c r="CT34" s="221"/>
      <c r="CU34" s="221"/>
      <c r="CV34" s="221"/>
      <c r="CW34" s="221"/>
      <c r="CX34" s="221"/>
      <c r="CY34" s="221"/>
      <c r="CZ34" s="221"/>
      <c r="DA34" s="221"/>
      <c r="DB34" s="221"/>
      <c r="DC34" s="223"/>
    </row>
    <row r="35" spans="2:111" ht="36" x14ac:dyDescent="0.2">
      <c r="B35" s="205"/>
      <c r="C35" s="883"/>
      <c r="D35" s="206" t="str">
        <f>'Technologies Matrix'!B31</f>
        <v>Permeable Reactive Barriers (PRBs) - Injection Well Method
(Aquifer Thickness - 
45 feet)</v>
      </c>
      <c r="E35" s="247">
        <f>'Technologies Matrix'!S31</f>
        <v>70</v>
      </c>
      <c r="F35" s="207">
        <f>'Technologies Matrix'!T31</f>
        <v>75</v>
      </c>
      <c r="G35" s="209" t="str">
        <f t="shared" ref="G35:BR35" si="20">IF(AND(G$3&gt;=$E35,G$3&lt;=$F35),"T","F")</f>
        <v>F</v>
      </c>
      <c r="H35" s="208" t="str">
        <f t="shared" si="20"/>
        <v>F</v>
      </c>
      <c r="I35" s="208" t="str">
        <f t="shared" si="20"/>
        <v>F</v>
      </c>
      <c r="J35" s="208" t="str">
        <f t="shared" si="20"/>
        <v>F</v>
      </c>
      <c r="K35" s="208" t="str">
        <f t="shared" si="20"/>
        <v>F</v>
      </c>
      <c r="L35" s="208" t="str">
        <f t="shared" si="20"/>
        <v>F</v>
      </c>
      <c r="M35" s="208" t="str">
        <f t="shared" si="20"/>
        <v>F</v>
      </c>
      <c r="N35" s="208" t="str">
        <f t="shared" si="20"/>
        <v>F</v>
      </c>
      <c r="O35" s="208" t="str">
        <f t="shared" si="20"/>
        <v>F</v>
      </c>
      <c r="P35" s="208" t="str">
        <f t="shared" si="20"/>
        <v>F</v>
      </c>
      <c r="Q35" s="209" t="str">
        <f t="shared" si="20"/>
        <v>F</v>
      </c>
      <c r="R35" s="208" t="str">
        <f t="shared" si="20"/>
        <v>F</v>
      </c>
      <c r="S35" s="208" t="str">
        <f t="shared" si="20"/>
        <v>F</v>
      </c>
      <c r="T35" s="208" t="str">
        <f t="shared" si="20"/>
        <v>F</v>
      </c>
      <c r="U35" s="208" t="str">
        <f t="shared" si="20"/>
        <v>F</v>
      </c>
      <c r="V35" s="208" t="str">
        <f t="shared" si="20"/>
        <v>F</v>
      </c>
      <c r="W35" s="208" t="str">
        <f t="shared" si="20"/>
        <v>F</v>
      </c>
      <c r="X35" s="208" t="str">
        <f t="shared" si="20"/>
        <v>F</v>
      </c>
      <c r="Y35" s="208" t="str">
        <f t="shared" si="20"/>
        <v>F</v>
      </c>
      <c r="Z35" s="208" t="str">
        <f t="shared" si="20"/>
        <v>F</v>
      </c>
      <c r="AA35" s="209" t="str">
        <f t="shared" si="20"/>
        <v>F</v>
      </c>
      <c r="AB35" s="208" t="str">
        <f t="shared" si="20"/>
        <v>F</v>
      </c>
      <c r="AC35" s="208" t="str">
        <f t="shared" si="20"/>
        <v>F</v>
      </c>
      <c r="AD35" s="208" t="str">
        <f t="shared" si="20"/>
        <v>F</v>
      </c>
      <c r="AE35" s="208" t="str">
        <f t="shared" si="20"/>
        <v>F</v>
      </c>
      <c r="AF35" s="208" t="str">
        <f t="shared" si="20"/>
        <v>F</v>
      </c>
      <c r="AG35" s="208" t="str">
        <f t="shared" si="20"/>
        <v>F</v>
      </c>
      <c r="AH35" s="208" t="str">
        <f t="shared" si="20"/>
        <v>F</v>
      </c>
      <c r="AI35" s="208" t="str">
        <f t="shared" si="20"/>
        <v>F</v>
      </c>
      <c r="AJ35" s="208" t="str">
        <f t="shared" si="20"/>
        <v>F</v>
      </c>
      <c r="AK35" s="209" t="str">
        <f t="shared" si="20"/>
        <v>F</v>
      </c>
      <c r="AL35" s="208" t="str">
        <f t="shared" si="20"/>
        <v>F</v>
      </c>
      <c r="AM35" s="208" t="str">
        <f t="shared" si="20"/>
        <v>F</v>
      </c>
      <c r="AN35" s="208" t="str">
        <f t="shared" si="20"/>
        <v>F</v>
      </c>
      <c r="AO35" s="208" t="str">
        <f t="shared" si="20"/>
        <v>F</v>
      </c>
      <c r="AP35" s="208" t="str">
        <f t="shared" si="20"/>
        <v>F</v>
      </c>
      <c r="AQ35" s="208" t="str">
        <f t="shared" si="20"/>
        <v>F</v>
      </c>
      <c r="AR35" s="208" t="str">
        <f t="shared" si="20"/>
        <v>F</v>
      </c>
      <c r="AS35" s="208" t="str">
        <f t="shared" si="20"/>
        <v>F</v>
      </c>
      <c r="AT35" s="208" t="str">
        <f t="shared" si="20"/>
        <v>F</v>
      </c>
      <c r="AU35" s="209" t="str">
        <f t="shared" si="20"/>
        <v>F</v>
      </c>
      <c r="AV35" s="208" t="str">
        <f t="shared" si="20"/>
        <v>F</v>
      </c>
      <c r="AW35" s="208" t="str">
        <f t="shared" si="20"/>
        <v>F</v>
      </c>
      <c r="AX35" s="208" t="str">
        <f t="shared" si="20"/>
        <v>F</v>
      </c>
      <c r="AY35" s="208" t="str">
        <f t="shared" si="20"/>
        <v>F</v>
      </c>
      <c r="AZ35" s="208" t="str">
        <f t="shared" si="20"/>
        <v>F</v>
      </c>
      <c r="BA35" s="208" t="str">
        <f t="shared" si="20"/>
        <v>F</v>
      </c>
      <c r="BB35" s="208" t="str">
        <f t="shared" si="20"/>
        <v>F</v>
      </c>
      <c r="BC35" s="208" t="str">
        <f t="shared" si="20"/>
        <v>F</v>
      </c>
      <c r="BD35" s="208" t="str">
        <f t="shared" si="20"/>
        <v>F</v>
      </c>
      <c r="BE35" s="209" t="str">
        <f t="shared" si="20"/>
        <v>F</v>
      </c>
      <c r="BF35" s="208" t="str">
        <f t="shared" si="20"/>
        <v>F</v>
      </c>
      <c r="BG35" s="208" t="str">
        <f t="shared" si="20"/>
        <v>F</v>
      </c>
      <c r="BH35" s="208" t="str">
        <f t="shared" si="20"/>
        <v>F</v>
      </c>
      <c r="BI35" s="208" t="str">
        <f t="shared" si="20"/>
        <v>F</v>
      </c>
      <c r="BJ35" s="208" t="str">
        <f t="shared" si="20"/>
        <v>F</v>
      </c>
      <c r="BK35" s="208" t="str">
        <f t="shared" si="20"/>
        <v>F</v>
      </c>
      <c r="BL35" s="208" t="str">
        <f t="shared" si="20"/>
        <v>F</v>
      </c>
      <c r="BM35" s="208" t="str">
        <f t="shared" si="20"/>
        <v>F</v>
      </c>
      <c r="BN35" s="208" t="str">
        <f t="shared" si="20"/>
        <v>F</v>
      </c>
      <c r="BO35" s="209" t="str">
        <f t="shared" si="20"/>
        <v>F</v>
      </c>
      <c r="BP35" s="208" t="str">
        <f t="shared" si="20"/>
        <v>F</v>
      </c>
      <c r="BQ35" s="208" t="str">
        <f t="shared" si="20"/>
        <v>F</v>
      </c>
      <c r="BR35" s="208" t="str">
        <f t="shared" si="20"/>
        <v>F</v>
      </c>
      <c r="BS35" s="208" t="str">
        <f t="shared" si="18"/>
        <v>F</v>
      </c>
      <c r="BT35" s="208" t="str">
        <f t="shared" si="18"/>
        <v>F</v>
      </c>
      <c r="BU35" s="208" t="str">
        <f t="shared" si="18"/>
        <v>F</v>
      </c>
      <c r="BV35" s="208" t="str">
        <f t="shared" si="18"/>
        <v>F</v>
      </c>
      <c r="BW35" s="208" t="str">
        <f t="shared" si="18"/>
        <v>F</v>
      </c>
      <c r="BX35" s="208" t="str">
        <f t="shared" si="18"/>
        <v>F</v>
      </c>
      <c r="BY35" s="209" t="str">
        <f t="shared" si="18"/>
        <v>T</v>
      </c>
      <c r="BZ35" s="208" t="str">
        <f t="shared" si="18"/>
        <v>T</v>
      </c>
      <c r="CA35" s="208" t="str">
        <f t="shared" si="18"/>
        <v>T</v>
      </c>
      <c r="CB35" s="208" t="str">
        <f t="shared" si="18"/>
        <v>T</v>
      </c>
      <c r="CC35" s="208" t="str">
        <f t="shared" si="18"/>
        <v>T</v>
      </c>
      <c r="CD35" s="208" t="str">
        <f t="shared" si="18"/>
        <v>T</v>
      </c>
      <c r="CE35" s="208" t="str">
        <f t="shared" si="18"/>
        <v>F</v>
      </c>
      <c r="CF35" s="208" t="str">
        <f t="shared" si="18"/>
        <v>F</v>
      </c>
      <c r="CG35" s="208" t="str">
        <f t="shared" si="18"/>
        <v>F</v>
      </c>
      <c r="CH35" s="208" t="str">
        <f t="shared" si="18"/>
        <v>F</v>
      </c>
      <c r="CI35" s="209" t="str">
        <f t="shared" si="18"/>
        <v>F</v>
      </c>
      <c r="CJ35" s="208" t="str">
        <f t="shared" si="18"/>
        <v>F</v>
      </c>
      <c r="CK35" s="208" t="str">
        <f t="shared" si="18"/>
        <v>F</v>
      </c>
      <c r="CL35" s="208" t="str">
        <f t="shared" si="18"/>
        <v>F</v>
      </c>
      <c r="CM35" s="208" t="str">
        <f t="shared" si="18"/>
        <v>F</v>
      </c>
      <c r="CN35" s="208" t="str">
        <f t="shared" si="18"/>
        <v>F</v>
      </c>
      <c r="CO35" s="208" t="str">
        <f t="shared" si="18"/>
        <v>F</v>
      </c>
      <c r="CP35" s="208" t="str">
        <f t="shared" si="18"/>
        <v>F</v>
      </c>
      <c r="CQ35" s="208" t="str">
        <f t="shared" si="18"/>
        <v>F</v>
      </c>
      <c r="CR35" s="208" t="str">
        <f t="shared" si="18"/>
        <v>F</v>
      </c>
      <c r="CS35" s="209" t="str">
        <f t="shared" si="18"/>
        <v>F</v>
      </c>
      <c r="CT35" s="208" t="str">
        <f t="shared" si="18"/>
        <v>F</v>
      </c>
      <c r="CU35" s="208" t="str">
        <f t="shared" si="18"/>
        <v>F</v>
      </c>
      <c r="CV35" s="208" t="str">
        <f t="shared" si="18"/>
        <v>F</v>
      </c>
      <c r="CW35" s="208" t="str">
        <f t="shared" si="18"/>
        <v>F</v>
      </c>
      <c r="CX35" s="208" t="str">
        <f t="shared" si="18"/>
        <v>F</v>
      </c>
      <c r="CY35" s="208" t="str">
        <f t="shared" si="18"/>
        <v>F</v>
      </c>
      <c r="CZ35" s="208" t="str">
        <f t="shared" si="18"/>
        <v>F</v>
      </c>
      <c r="DA35" s="208" t="str">
        <f t="shared" si="18"/>
        <v>F</v>
      </c>
      <c r="DB35" s="208" t="str">
        <f t="shared" si="18"/>
        <v>F</v>
      </c>
      <c r="DC35" s="210" t="str">
        <f t="shared" si="18"/>
        <v>F</v>
      </c>
    </row>
    <row r="36" spans="2:111" x14ac:dyDescent="0.2">
      <c r="B36" s="205"/>
      <c r="C36" s="883"/>
      <c r="D36" s="206"/>
      <c r="E36" s="247"/>
      <c r="F36" s="207"/>
      <c r="G36" s="220"/>
      <c r="H36" s="221"/>
      <c r="I36" s="221"/>
      <c r="J36" s="221"/>
      <c r="K36" s="221"/>
      <c r="L36" s="221"/>
      <c r="M36" s="221"/>
      <c r="N36" s="221"/>
      <c r="O36" s="221"/>
      <c r="P36" s="221"/>
      <c r="Q36" s="222"/>
      <c r="R36" s="221"/>
      <c r="S36" s="221"/>
      <c r="T36" s="221"/>
      <c r="U36" s="221"/>
      <c r="V36" s="221"/>
      <c r="W36" s="221"/>
      <c r="X36" s="221"/>
      <c r="Y36" s="221"/>
      <c r="Z36" s="221"/>
      <c r="AA36" s="222"/>
      <c r="AB36" s="221"/>
      <c r="AC36" s="221"/>
      <c r="AD36" s="221"/>
      <c r="AE36" s="221"/>
      <c r="AF36" s="221"/>
      <c r="AG36" s="221"/>
      <c r="AH36" s="221"/>
      <c r="AI36" s="221"/>
      <c r="AJ36" s="221"/>
      <c r="AK36" s="222"/>
      <c r="AL36" s="221"/>
      <c r="AM36" s="221"/>
      <c r="AN36" s="221"/>
      <c r="AO36" s="221"/>
      <c r="AP36" s="221"/>
      <c r="AQ36" s="221"/>
      <c r="AR36" s="221"/>
      <c r="AS36" s="221"/>
      <c r="AT36" s="221"/>
      <c r="AU36" s="222"/>
      <c r="AV36" s="221"/>
      <c r="AW36" s="221"/>
      <c r="AX36" s="221"/>
      <c r="AY36" s="221"/>
      <c r="AZ36" s="221"/>
      <c r="BA36" s="221"/>
      <c r="BB36" s="221"/>
      <c r="BC36" s="221"/>
      <c r="BD36" s="221"/>
      <c r="BE36" s="222"/>
      <c r="BF36" s="221"/>
      <c r="BG36" s="221"/>
      <c r="BH36" s="221"/>
      <c r="BI36" s="221"/>
      <c r="BJ36" s="221"/>
      <c r="BK36" s="221"/>
      <c r="BL36" s="221"/>
      <c r="BM36" s="221"/>
      <c r="BN36" s="221"/>
      <c r="BO36" s="222"/>
      <c r="BP36" s="221"/>
      <c r="BQ36" s="221"/>
      <c r="BR36" s="221"/>
      <c r="BS36" s="221"/>
      <c r="BT36" s="221"/>
      <c r="BU36" s="221"/>
      <c r="BV36" s="221"/>
      <c r="BW36" s="221"/>
      <c r="BX36" s="221"/>
      <c r="BY36" s="222"/>
      <c r="BZ36" s="221"/>
      <c r="CA36" s="221"/>
      <c r="CB36" s="221"/>
      <c r="CC36" s="221"/>
      <c r="CD36" s="221"/>
      <c r="CE36" s="221"/>
      <c r="CF36" s="221"/>
      <c r="CG36" s="221"/>
      <c r="CH36" s="221"/>
      <c r="CI36" s="222"/>
      <c r="CJ36" s="221"/>
      <c r="CK36" s="221"/>
      <c r="CL36" s="221"/>
      <c r="CM36" s="221"/>
      <c r="CN36" s="221"/>
      <c r="CO36" s="221"/>
      <c r="CP36" s="221"/>
      <c r="CQ36" s="221"/>
      <c r="CR36" s="221"/>
      <c r="CS36" s="222"/>
      <c r="CT36" s="221"/>
      <c r="CU36" s="221"/>
      <c r="CV36" s="221"/>
      <c r="CW36" s="221"/>
      <c r="CX36" s="221"/>
      <c r="CY36" s="221"/>
      <c r="CZ36" s="221"/>
      <c r="DA36" s="221"/>
      <c r="DB36" s="221"/>
      <c r="DC36" s="223"/>
    </row>
    <row r="37" spans="2:111" x14ac:dyDescent="0.2">
      <c r="B37" s="205"/>
      <c r="C37" s="883"/>
      <c r="D37" s="206" t="str">
        <f>'Technologies Matrix'!B33</f>
        <v>Fertigation Wells - Turf</v>
      </c>
      <c r="E37" s="247">
        <f>'Technologies Matrix'!S33</f>
        <v>60</v>
      </c>
      <c r="F37" s="207">
        <f>'Technologies Matrix'!T33</f>
        <v>80</v>
      </c>
      <c r="G37" s="209" t="str">
        <f t="shared" ref="G37:BR37" si="21">IF(AND(G$3&gt;=$E37,G$3&lt;=$F37),"T","F")</f>
        <v>F</v>
      </c>
      <c r="H37" s="208" t="str">
        <f t="shared" si="21"/>
        <v>F</v>
      </c>
      <c r="I37" s="208" t="str">
        <f t="shared" si="21"/>
        <v>F</v>
      </c>
      <c r="J37" s="208" t="str">
        <f t="shared" si="21"/>
        <v>F</v>
      </c>
      <c r="K37" s="208" t="str">
        <f t="shared" si="21"/>
        <v>F</v>
      </c>
      <c r="L37" s="208" t="str">
        <f t="shared" si="21"/>
        <v>F</v>
      </c>
      <c r="M37" s="208" t="str">
        <f t="shared" si="21"/>
        <v>F</v>
      </c>
      <c r="N37" s="208" t="str">
        <f t="shared" si="21"/>
        <v>F</v>
      </c>
      <c r="O37" s="208" t="str">
        <f t="shared" si="21"/>
        <v>F</v>
      </c>
      <c r="P37" s="208" t="str">
        <f t="shared" si="21"/>
        <v>F</v>
      </c>
      <c r="Q37" s="209" t="str">
        <f t="shared" si="21"/>
        <v>F</v>
      </c>
      <c r="R37" s="208" t="str">
        <f t="shared" si="21"/>
        <v>F</v>
      </c>
      <c r="S37" s="208" t="str">
        <f t="shared" si="21"/>
        <v>F</v>
      </c>
      <c r="T37" s="208" t="str">
        <f t="shared" si="21"/>
        <v>F</v>
      </c>
      <c r="U37" s="208" t="str">
        <f t="shared" si="21"/>
        <v>F</v>
      </c>
      <c r="V37" s="208" t="str">
        <f t="shared" si="21"/>
        <v>F</v>
      </c>
      <c r="W37" s="208" t="str">
        <f t="shared" si="21"/>
        <v>F</v>
      </c>
      <c r="X37" s="208" t="str">
        <f t="shared" si="21"/>
        <v>F</v>
      </c>
      <c r="Y37" s="208" t="str">
        <f t="shared" si="21"/>
        <v>F</v>
      </c>
      <c r="Z37" s="208" t="str">
        <f t="shared" si="21"/>
        <v>F</v>
      </c>
      <c r="AA37" s="209" t="str">
        <f t="shared" si="21"/>
        <v>F</v>
      </c>
      <c r="AB37" s="208" t="str">
        <f t="shared" si="21"/>
        <v>F</v>
      </c>
      <c r="AC37" s="208" t="str">
        <f t="shared" si="21"/>
        <v>F</v>
      </c>
      <c r="AD37" s="208" t="str">
        <f t="shared" si="21"/>
        <v>F</v>
      </c>
      <c r="AE37" s="208" t="str">
        <f t="shared" si="21"/>
        <v>F</v>
      </c>
      <c r="AF37" s="208" t="str">
        <f t="shared" si="21"/>
        <v>F</v>
      </c>
      <c r="AG37" s="208" t="str">
        <f t="shared" si="21"/>
        <v>F</v>
      </c>
      <c r="AH37" s="208" t="str">
        <f t="shared" si="21"/>
        <v>F</v>
      </c>
      <c r="AI37" s="208" t="str">
        <f t="shared" si="21"/>
        <v>F</v>
      </c>
      <c r="AJ37" s="208" t="str">
        <f t="shared" si="21"/>
        <v>F</v>
      </c>
      <c r="AK37" s="209" t="str">
        <f t="shared" si="21"/>
        <v>F</v>
      </c>
      <c r="AL37" s="208" t="str">
        <f t="shared" si="21"/>
        <v>F</v>
      </c>
      <c r="AM37" s="208" t="str">
        <f t="shared" si="21"/>
        <v>F</v>
      </c>
      <c r="AN37" s="208" t="str">
        <f t="shared" si="21"/>
        <v>F</v>
      </c>
      <c r="AO37" s="208" t="str">
        <f t="shared" si="21"/>
        <v>F</v>
      </c>
      <c r="AP37" s="208" t="str">
        <f t="shared" si="21"/>
        <v>F</v>
      </c>
      <c r="AQ37" s="208" t="str">
        <f t="shared" si="21"/>
        <v>F</v>
      </c>
      <c r="AR37" s="208" t="str">
        <f t="shared" si="21"/>
        <v>F</v>
      </c>
      <c r="AS37" s="208" t="str">
        <f t="shared" si="21"/>
        <v>F</v>
      </c>
      <c r="AT37" s="208" t="str">
        <f t="shared" si="21"/>
        <v>F</v>
      </c>
      <c r="AU37" s="209" t="str">
        <f t="shared" si="21"/>
        <v>F</v>
      </c>
      <c r="AV37" s="208" t="str">
        <f t="shared" si="21"/>
        <v>F</v>
      </c>
      <c r="AW37" s="208" t="str">
        <f t="shared" si="21"/>
        <v>F</v>
      </c>
      <c r="AX37" s="208" t="str">
        <f t="shared" si="21"/>
        <v>F</v>
      </c>
      <c r="AY37" s="208" t="str">
        <f t="shared" si="21"/>
        <v>F</v>
      </c>
      <c r="AZ37" s="208" t="str">
        <f t="shared" si="21"/>
        <v>F</v>
      </c>
      <c r="BA37" s="208" t="str">
        <f t="shared" si="21"/>
        <v>F</v>
      </c>
      <c r="BB37" s="208" t="str">
        <f t="shared" si="21"/>
        <v>F</v>
      </c>
      <c r="BC37" s="208" t="str">
        <f t="shared" si="21"/>
        <v>F</v>
      </c>
      <c r="BD37" s="208" t="str">
        <f t="shared" si="21"/>
        <v>F</v>
      </c>
      <c r="BE37" s="209" t="str">
        <f t="shared" si="21"/>
        <v>F</v>
      </c>
      <c r="BF37" s="208" t="str">
        <f t="shared" si="21"/>
        <v>F</v>
      </c>
      <c r="BG37" s="208" t="str">
        <f t="shared" si="21"/>
        <v>F</v>
      </c>
      <c r="BH37" s="208" t="str">
        <f t="shared" si="21"/>
        <v>F</v>
      </c>
      <c r="BI37" s="208" t="str">
        <f t="shared" si="21"/>
        <v>F</v>
      </c>
      <c r="BJ37" s="208" t="str">
        <f t="shared" si="21"/>
        <v>F</v>
      </c>
      <c r="BK37" s="208" t="str">
        <f t="shared" si="21"/>
        <v>F</v>
      </c>
      <c r="BL37" s="208" t="str">
        <f t="shared" si="21"/>
        <v>F</v>
      </c>
      <c r="BM37" s="208" t="str">
        <f t="shared" si="21"/>
        <v>F</v>
      </c>
      <c r="BN37" s="208" t="str">
        <f t="shared" si="21"/>
        <v>F</v>
      </c>
      <c r="BO37" s="209" t="str">
        <f t="shared" si="21"/>
        <v>T</v>
      </c>
      <c r="BP37" s="208" t="str">
        <f t="shared" si="21"/>
        <v>T</v>
      </c>
      <c r="BQ37" s="208" t="str">
        <f t="shared" si="21"/>
        <v>T</v>
      </c>
      <c r="BR37" s="208" t="str">
        <f t="shared" si="21"/>
        <v>T</v>
      </c>
      <c r="BS37" s="208" t="str">
        <f t="shared" si="18"/>
        <v>T</v>
      </c>
      <c r="BT37" s="208" t="str">
        <f t="shared" si="18"/>
        <v>T</v>
      </c>
      <c r="BU37" s="208" t="str">
        <f t="shared" si="18"/>
        <v>T</v>
      </c>
      <c r="BV37" s="208" t="str">
        <f t="shared" si="18"/>
        <v>T</v>
      </c>
      <c r="BW37" s="208" t="str">
        <f t="shared" si="18"/>
        <v>T</v>
      </c>
      <c r="BX37" s="208" t="str">
        <f t="shared" si="18"/>
        <v>T</v>
      </c>
      <c r="BY37" s="209" t="str">
        <f t="shared" si="18"/>
        <v>T</v>
      </c>
      <c r="BZ37" s="208" t="str">
        <f t="shared" si="18"/>
        <v>T</v>
      </c>
      <c r="CA37" s="208" t="str">
        <f t="shared" si="18"/>
        <v>T</v>
      </c>
      <c r="CB37" s="208" t="str">
        <f t="shared" si="18"/>
        <v>T</v>
      </c>
      <c r="CC37" s="208" t="str">
        <f t="shared" si="18"/>
        <v>T</v>
      </c>
      <c r="CD37" s="208" t="str">
        <f t="shared" si="18"/>
        <v>T</v>
      </c>
      <c r="CE37" s="208" t="str">
        <f t="shared" si="18"/>
        <v>T</v>
      </c>
      <c r="CF37" s="208" t="str">
        <f t="shared" si="18"/>
        <v>T</v>
      </c>
      <c r="CG37" s="208" t="str">
        <f t="shared" si="18"/>
        <v>T</v>
      </c>
      <c r="CH37" s="208" t="str">
        <f t="shared" si="18"/>
        <v>T</v>
      </c>
      <c r="CI37" s="209" t="str">
        <f t="shared" si="18"/>
        <v>T</v>
      </c>
      <c r="CJ37" s="208" t="str">
        <f t="shared" si="18"/>
        <v>F</v>
      </c>
      <c r="CK37" s="208" t="str">
        <f t="shared" si="18"/>
        <v>F</v>
      </c>
      <c r="CL37" s="208" t="str">
        <f t="shared" si="18"/>
        <v>F</v>
      </c>
      <c r="CM37" s="208" t="str">
        <f t="shared" si="18"/>
        <v>F</v>
      </c>
      <c r="CN37" s="208" t="str">
        <f t="shared" si="18"/>
        <v>F</v>
      </c>
      <c r="CO37" s="208" t="str">
        <f t="shared" si="18"/>
        <v>F</v>
      </c>
      <c r="CP37" s="208" t="str">
        <f t="shared" si="18"/>
        <v>F</v>
      </c>
      <c r="CQ37" s="208" t="str">
        <f t="shared" si="18"/>
        <v>F</v>
      </c>
      <c r="CR37" s="208" t="str">
        <f t="shared" si="18"/>
        <v>F</v>
      </c>
      <c r="CS37" s="209" t="str">
        <f t="shared" si="18"/>
        <v>F</v>
      </c>
      <c r="CT37" s="208" t="str">
        <f t="shared" si="18"/>
        <v>F</v>
      </c>
      <c r="CU37" s="208" t="str">
        <f t="shared" si="18"/>
        <v>F</v>
      </c>
      <c r="CV37" s="208" t="str">
        <f t="shared" si="18"/>
        <v>F</v>
      </c>
      <c r="CW37" s="208" t="str">
        <f t="shared" si="18"/>
        <v>F</v>
      </c>
      <c r="CX37" s="208" t="str">
        <f t="shared" si="18"/>
        <v>F</v>
      </c>
      <c r="CY37" s="208" t="str">
        <f t="shared" si="18"/>
        <v>F</v>
      </c>
      <c r="CZ37" s="208" t="str">
        <f>IF(AND(CZ$3&gt;=$E37,CZ$3&lt;=$F37),"T","F")</f>
        <v>F</v>
      </c>
      <c r="DA37" s="208" t="str">
        <f>IF(AND(DA$3&gt;=$E37,DA$3&lt;=$F37),"T","F")</f>
        <v>F</v>
      </c>
      <c r="DB37" s="208" t="str">
        <f>IF(AND(DB$3&gt;=$E37,DB$3&lt;=$F37),"T","F")</f>
        <v>F</v>
      </c>
      <c r="DC37" s="210" t="str">
        <f>IF(AND(DC$3&gt;=$E37,DC$3&lt;=$F37),"T","F")</f>
        <v>F</v>
      </c>
    </row>
    <row r="38" spans="2:111" x14ac:dyDescent="0.2">
      <c r="B38" s="205"/>
      <c r="C38" s="883"/>
      <c r="D38" s="206"/>
      <c r="E38" s="247"/>
      <c r="F38" s="207"/>
      <c r="G38" s="220"/>
      <c r="H38" s="221"/>
      <c r="I38" s="221"/>
      <c r="J38" s="221"/>
      <c r="K38" s="221"/>
      <c r="L38" s="221"/>
      <c r="M38" s="221"/>
      <c r="N38" s="221"/>
      <c r="O38" s="221"/>
      <c r="P38" s="221"/>
      <c r="Q38" s="222"/>
      <c r="R38" s="221"/>
      <c r="S38" s="221"/>
      <c r="T38" s="221"/>
      <c r="U38" s="221"/>
      <c r="V38" s="221"/>
      <c r="W38" s="221"/>
      <c r="X38" s="221"/>
      <c r="Y38" s="221"/>
      <c r="Z38" s="221"/>
      <c r="AA38" s="222"/>
      <c r="AB38" s="221"/>
      <c r="AC38" s="221"/>
      <c r="AD38" s="221"/>
      <c r="AE38" s="221"/>
      <c r="AF38" s="221"/>
      <c r="AG38" s="221"/>
      <c r="AH38" s="221"/>
      <c r="AI38" s="221"/>
      <c r="AJ38" s="221"/>
      <c r="AK38" s="222"/>
      <c r="AL38" s="221"/>
      <c r="AM38" s="221"/>
      <c r="AN38" s="221"/>
      <c r="AO38" s="221"/>
      <c r="AP38" s="221"/>
      <c r="AQ38" s="221"/>
      <c r="AR38" s="221"/>
      <c r="AS38" s="221"/>
      <c r="AT38" s="221"/>
      <c r="AU38" s="222"/>
      <c r="AV38" s="221"/>
      <c r="AW38" s="221"/>
      <c r="AX38" s="221"/>
      <c r="AY38" s="221"/>
      <c r="AZ38" s="221"/>
      <c r="BA38" s="221"/>
      <c r="BB38" s="221"/>
      <c r="BC38" s="221"/>
      <c r="BD38" s="221"/>
      <c r="BE38" s="222"/>
      <c r="BF38" s="221"/>
      <c r="BG38" s="221"/>
      <c r="BH38" s="221"/>
      <c r="BI38" s="221"/>
      <c r="BJ38" s="221"/>
      <c r="BK38" s="221"/>
      <c r="BL38" s="221"/>
      <c r="BM38" s="221"/>
      <c r="BN38" s="221"/>
      <c r="BO38" s="222"/>
      <c r="BP38" s="221"/>
      <c r="BQ38" s="221"/>
      <c r="BR38" s="221"/>
      <c r="BS38" s="221"/>
      <c r="BT38" s="221"/>
      <c r="BU38" s="221"/>
      <c r="BV38" s="221"/>
      <c r="BW38" s="221"/>
      <c r="BX38" s="221"/>
      <c r="BY38" s="222"/>
      <c r="BZ38" s="221"/>
      <c r="CA38" s="221"/>
      <c r="CB38" s="221"/>
      <c r="CC38" s="221"/>
      <c r="CD38" s="221"/>
      <c r="CE38" s="221"/>
      <c r="CF38" s="221"/>
      <c r="CG38" s="221"/>
      <c r="CH38" s="221"/>
      <c r="CI38" s="222"/>
      <c r="CJ38" s="221"/>
      <c r="CK38" s="221"/>
      <c r="CL38" s="221"/>
      <c r="CM38" s="221"/>
      <c r="CN38" s="221"/>
      <c r="CO38" s="221"/>
      <c r="CP38" s="221"/>
      <c r="CQ38" s="221"/>
      <c r="CR38" s="221"/>
      <c r="CS38" s="222"/>
      <c r="CT38" s="221"/>
      <c r="CU38" s="221"/>
      <c r="CV38" s="221"/>
      <c r="CW38" s="221"/>
      <c r="CX38" s="221"/>
      <c r="CY38" s="221"/>
      <c r="CZ38" s="221"/>
      <c r="DA38" s="221"/>
      <c r="DB38" s="221"/>
      <c r="DC38" s="223"/>
    </row>
    <row r="39" spans="2:111" x14ac:dyDescent="0.2">
      <c r="B39" s="205"/>
      <c r="C39" s="883"/>
      <c r="D39" s="206" t="str">
        <f>'Technologies Matrix'!B34</f>
        <v>Fertigation Wells - Cranberry Bogs</v>
      </c>
      <c r="E39" s="247">
        <f>'Technologies Matrix'!S34</f>
        <v>60</v>
      </c>
      <c r="F39" s="207">
        <f>'Technologies Matrix'!T34</f>
        <v>80</v>
      </c>
      <c r="G39" s="209" t="str">
        <f t="shared" ref="G39:BR39" si="22">IF(AND(G$3&gt;=$E39,G$3&lt;=$F39),"T","F")</f>
        <v>F</v>
      </c>
      <c r="H39" s="208" t="str">
        <f t="shared" si="22"/>
        <v>F</v>
      </c>
      <c r="I39" s="208" t="str">
        <f t="shared" si="22"/>
        <v>F</v>
      </c>
      <c r="J39" s="208" t="str">
        <f t="shared" si="22"/>
        <v>F</v>
      </c>
      <c r="K39" s="208" t="str">
        <f t="shared" si="22"/>
        <v>F</v>
      </c>
      <c r="L39" s="208" t="str">
        <f t="shared" si="22"/>
        <v>F</v>
      </c>
      <c r="M39" s="208" t="str">
        <f t="shared" si="22"/>
        <v>F</v>
      </c>
      <c r="N39" s="208" t="str">
        <f t="shared" si="22"/>
        <v>F</v>
      </c>
      <c r="O39" s="208" t="str">
        <f t="shared" si="22"/>
        <v>F</v>
      </c>
      <c r="P39" s="208" t="str">
        <f t="shared" si="22"/>
        <v>F</v>
      </c>
      <c r="Q39" s="209" t="str">
        <f t="shared" si="22"/>
        <v>F</v>
      </c>
      <c r="R39" s="208" t="str">
        <f t="shared" si="22"/>
        <v>F</v>
      </c>
      <c r="S39" s="208" t="str">
        <f t="shared" si="22"/>
        <v>F</v>
      </c>
      <c r="T39" s="208" t="str">
        <f t="shared" si="22"/>
        <v>F</v>
      </c>
      <c r="U39" s="208" t="str">
        <f t="shared" si="22"/>
        <v>F</v>
      </c>
      <c r="V39" s="208" t="str">
        <f t="shared" si="22"/>
        <v>F</v>
      </c>
      <c r="W39" s="208" t="str">
        <f t="shared" si="22"/>
        <v>F</v>
      </c>
      <c r="X39" s="208" t="str">
        <f t="shared" si="22"/>
        <v>F</v>
      </c>
      <c r="Y39" s="208" t="str">
        <f t="shared" si="22"/>
        <v>F</v>
      </c>
      <c r="Z39" s="208" t="str">
        <f t="shared" si="22"/>
        <v>F</v>
      </c>
      <c r="AA39" s="209" t="str">
        <f t="shared" si="22"/>
        <v>F</v>
      </c>
      <c r="AB39" s="208" t="str">
        <f t="shared" si="22"/>
        <v>F</v>
      </c>
      <c r="AC39" s="208" t="str">
        <f t="shared" si="22"/>
        <v>F</v>
      </c>
      <c r="AD39" s="208" t="str">
        <f t="shared" si="22"/>
        <v>F</v>
      </c>
      <c r="AE39" s="208" t="str">
        <f t="shared" si="22"/>
        <v>F</v>
      </c>
      <c r="AF39" s="208" t="str">
        <f t="shared" si="22"/>
        <v>F</v>
      </c>
      <c r="AG39" s="208" t="str">
        <f t="shared" si="22"/>
        <v>F</v>
      </c>
      <c r="AH39" s="208" t="str">
        <f t="shared" si="22"/>
        <v>F</v>
      </c>
      <c r="AI39" s="208" t="str">
        <f t="shared" si="22"/>
        <v>F</v>
      </c>
      <c r="AJ39" s="208" t="str">
        <f t="shared" si="22"/>
        <v>F</v>
      </c>
      <c r="AK39" s="209" t="str">
        <f t="shared" si="22"/>
        <v>F</v>
      </c>
      <c r="AL39" s="208" t="str">
        <f t="shared" si="22"/>
        <v>F</v>
      </c>
      <c r="AM39" s="208" t="str">
        <f t="shared" si="22"/>
        <v>F</v>
      </c>
      <c r="AN39" s="208" t="str">
        <f t="shared" si="22"/>
        <v>F</v>
      </c>
      <c r="AO39" s="208" t="str">
        <f t="shared" si="22"/>
        <v>F</v>
      </c>
      <c r="AP39" s="208" t="str">
        <f t="shared" si="22"/>
        <v>F</v>
      </c>
      <c r="AQ39" s="208" t="str">
        <f t="shared" si="22"/>
        <v>F</v>
      </c>
      <c r="AR39" s="208" t="str">
        <f t="shared" si="22"/>
        <v>F</v>
      </c>
      <c r="AS39" s="208" t="str">
        <f t="shared" si="22"/>
        <v>F</v>
      </c>
      <c r="AT39" s="208" t="str">
        <f t="shared" si="22"/>
        <v>F</v>
      </c>
      <c r="AU39" s="209" t="str">
        <f t="shared" si="22"/>
        <v>F</v>
      </c>
      <c r="AV39" s="208" t="str">
        <f t="shared" si="22"/>
        <v>F</v>
      </c>
      <c r="AW39" s="208" t="str">
        <f t="shared" si="22"/>
        <v>F</v>
      </c>
      <c r="AX39" s="208" t="str">
        <f t="shared" si="22"/>
        <v>F</v>
      </c>
      <c r="AY39" s="208" t="str">
        <f t="shared" si="22"/>
        <v>F</v>
      </c>
      <c r="AZ39" s="208" t="str">
        <f t="shared" si="22"/>
        <v>F</v>
      </c>
      <c r="BA39" s="208" t="str">
        <f t="shared" si="22"/>
        <v>F</v>
      </c>
      <c r="BB39" s="208" t="str">
        <f t="shared" si="22"/>
        <v>F</v>
      </c>
      <c r="BC39" s="208" t="str">
        <f t="shared" si="22"/>
        <v>F</v>
      </c>
      <c r="BD39" s="208" t="str">
        <f t="shared" si="22"/>
        <v>F</v>
      </c>
      <c r="BE39" s="209" t="str">
        <f t="shared" si="22"/>
        <v>F</v>
      </c>
      <c r="BF39" s="208" t="str">
        <f t="shared" si="22"/>
        <v>F</v>
      </c>
      <c r="BG39" s="208" t="str">
        <f t="shared" si="22"/>
        <v>F</v>
      </c>
      <c r="BH39" s="208" t="str">
        <f t="shared" si="22"/>
        <v>F</v>
      </c>
      <c r="BI39" s="208" t="str">
        <f t="shared" si="22"/>
        <v>F</v>
      </c>
      <c r="BJ39" s="208" t="str">
        <f t="shared" si="22"/>
        <v>F</v>
      </c>
      <c r="BK39" s="208" t="str">
        <f t="shared" si="22"/>
        <v>F</v>
      </c>
      <c r="BL39" s="208" t="str">
        <f t="shared" si="22"/>
        <v>F</v>
      </c>
      <c r="BM39" s="208" t="str">
        <f t="shared" si="22"/>
        <v>F</v>
      </c>
      <c r="BN39" s="208" t="str">
        <f t="shared" si="22"/>
        <v>F</v>
      </c>
      <c r="BO39" s="209" t="str">
        <f t="shared" si="22"/>
        <v>T</v>
      </c>
      <c r="BP39" s="208" t="str">
        <f t="shared" si="22"/>
        <v>T</v>
      </c>
      <c r="BQ39" s="208" t="str">
        <f t="shared" si="22"/>
        <v>T</v>
      </c>
      <c r="BR39" s="208" t="str">
        <f t="shared" si="22"/>
        <v>T</v>
      </c>
      <c r="BS39" s="208" t="str">
        <f t="shared" ref="BS39:DC39" si="23">IF(AND(BS$3&gt;=$E39,BS$3&lt;=$F39),"T","F")</f>
        <v>T</v>
      </c>
      <c r="BT39" s="208" t="str">
        <f t="shared" si="23"/>
        <v>T</v>
      </c>
      <c r="BU39" s="208" t="str">
        <f t="shared" si="23"/>
        <v>T</v>
      </c>
      <c r="BV39" s="208" t="str">
        <f t="shared" si="23"/>
        <v>T</v>
      </c>
      <c r="BW39" s="208" t="str">
        <f t="shared" si="23"/>
        <v>T</v>
      </c>
      <c r="BX39" s="208" t="str">
        <f t="shared" si="23"/>
        <v>T</v>
      </c>
      <c r="BY39" s="209" t="str">
        <f t="shared" si="23"/>
        <v>T</v>
      </c>
      <c r="BZ39" s="208" t="str">
        <f t="shared" si="23"/>
        <v>T</v>
      </c>
      <c r="CA39" s="208" t="str">
        <f t="shared" si="23"/>
        <v>T</v>
      </c>
      <c r="CB39" s="208" t="str">
        <f t="shared" si="23"/>
        <v>T</v>
      </c>
      <c r="CC39" s="208" t="str">
        <f t="shared" si="23"/>
        <v>T</v>
      </c>
      <c r="CD39" s="208" t="str">
        <f t="shared" si="23"/>
        <v>T</v>
      </c>
      <c r="CE39" s="208" t="str">
        <f t="shared" si="23"/>
        <v>T</v>
      </c>
      <c r="CF39" s="208" t="str">
        <f t="shared" si="23"/>
        <v>T</v>
      </c>
      <c r="CG39" s="208" t="str">
        <f t="shared" si="23"/>
        <v>T</v>
      </c>
      <c r="CH39" s="208" t="str">
        <f t="shared" si="23"/>
        <v>T</v>
      </c>
      <c r="CI39" s="209" t="str">
        <f t="shared" si="23"/>
        <v>T</v>
      </c>
      <c r="CJ39" s="208" t="str">
        <f t="shared" si="23"/>
        <v>F</v>
      </c>
      <c r="CK39" s="208" t="str">
        <f t="shared" si="23"/>
        <v>F</v>
      </c>
      <c r="CL39" s="208" t="str">
        <f t="shared" si="23"/>
        <v>F</v>
      </c>
      <c r="CM39" s="208" t="str">
        <f t="shared" si="23"/>
        <v>F</v>
      </c>
      <c r="CN39" s="208" t="str">
        <f t="shared" si="23"/>
        <v>F</v>
      </c>
      <c r="CO39" s="208" t="str">
        <f t="shared" si="23"/>
        <v>F</v>
      </c>
      <c r="CP39" s="208" t="str">
        <f t="shared" si="23"/>
        <v>F</v>
      </c>
      <c r="CQ39" s="208" t="str">
        <f t="shared" si="23"/>
        <v>F</v>
      </c>
      <c r="CR39" s="208" t="str">
        <f t="shared" si="23"/>
        <v>F</v>
      </c>
      <c r="CS39" s="209" t="str">
        <f t="shared" si="23"/>
        <v>F</v>
      </c>
      <c r="CT39" s="208" t="str">
        <f t="shared" si="23"/>
        <v>F</v>
      </c>
      <c r="CU39" s="208" t="str">
        <f t="shared" si="23"/>
        <v>F</v>
      </c>
      <c r="CV39" s="208" t="str">
        <f t="shared" si="23"/>
        <v>F</v>
      </c>
      <c r="CW39" s="208" t="str">
        <f t="shared" si="23"/>
        <v>F</v>
      </c>
      <c r="CX39" s="208" t="str">
        <f t="shared" si="23"/>
        <v>F</v>
      </c>
      <c r="CY39" s="208" t="str">
        <f t="shared" si="23"/>
        <v>F</v>
      </c>
      <c r="CZ39" s="208" t="str">
        <f t="shared" si="23"/>
        <v>F</v>
      </c>
      <c r="DA39" s="208" t="str">
        <f t="shared" si="23"/>
        <v>F</v>
      </c>
      <c r="DB39" s="208" t="str">
        <f t="shared" si="23"/>
        <v>F</v>
      </c>
      <c r="DC39" s="210" t="str">
        <f t="shared" si="23"/>
        <v>F</v>
      </c>
    </row>
    <row r="40" spans="2:111" s="214" customFormat="1" x14ac:dyDescent="0.2">
      <c r="B40" s="215"/>
      <c r="C40" s="226"/>
      <c r="D40" s="206"/>
      <c r="E40" s="247"/>
      <c r="F40" s="207"/>
      <c r="G40" s="220"/>
      <c r="H40" s="221"/>
      <c r="I40" s="221"/>
      <c r="J40" s="221"/>
      <c r="K40" s="221"/>
      <c r="L40" s="221"/>
      <c r="M40" s="221"/>
      <c r="N40" s="221"/>
      <c r="O40" s="221"/>
      <c r="P40" s="221"/>
      <c r="Q40" s="222"/>
      <c r="R40" s="221"/>
      <c r="S40" s="221"/>
      <c r="T40" s="221"/>
      <c r="U40" s="221"/>
      <c r="V40" s="221"/>
      <c r="W40" s="221"/>
      <c r="X40" s="221"/>
      <c r="Y40" s="221"/>
      <c r="Z40" s="221"/>
      <c r="AA40" s="222"/>
      <c r="AB40" s="221"/>
      <c r="AC40" s="221"/>
      <c r="AD40" s="221"/>
      <c r="AE40" s="221"/>
      <c r="AF40" s="221"/>
      <c r="AG40" s="221"/>
      <c r="AH40" s="221"/>
      <c r="AI40" s="221"/>
      <c r="AJ40" s="221"/>
      <c r="AK40" s="222"/>
      <c r="AL40" s="221"/>
      <c r="AM40" s="221"/>
      <c r="AN40" s="221"/>
      <c r="AO40" s="221"/>
      <c r="AP40" s="221"/>
      <c r="AQ40" s="221"/>
      <c r="AR40" s="221"/>
      <c r="AS40" s="221"/>
      <c r="AT40" s="221"/>
      <c r="AU40" s="222"/>
      <c r="AV40" s="221"/>
      <c r="AW40" s="221"/>
      <c r="AX40" s="221"/>
      <c r="AY40" s="221"/>
      <c r="AZ40" s="221"/>
      <c r="BA40" s="221"/>
      <c r="BB40" s="221"/>
      <c r="BC40" s="221"/>
      <c r="BD40" s="221"/>
      <c r="BE40" s="222"/>
      <c r="BF40" s="221"/>
      <c r="BG40" s="221"/>
      <c r="BH40" s="221"/>
      <c r="BI40" s="221"/>
      <c r="BJ40" s="221"/>
      <c r="BK40" s="221"/>
      <c r="BL40" s="221"/>
      <c r="BM40" s="221"/>
      <c r="BN40" s="221"/>
      <c r="BO40" s="222"/>
      <c r="BP40" s="221"/>
      <c r="BQ40" s="221"/>
      <c r="BR40" s="221"/>
      <c r="BS40" s="221"/>
      <c r="BT40" s="221"/>
      <c r="BU40" s="221"/>
      <c r="BV40" s="221"/>
      <c r="BW40" s="221"/>
      <c r="BX40" s="221"/>
      <c r="BY40" s="222"/>
      <c r="BZ40" s="221"/>
      <c r="CA40" s="221"/>
      <c r="CB40" s="221"/>
      <c r="CC40" s="221"/>
      <c r="CD40" s="221"/>
      <c r="CE40" s="221"/>
      <c r="CF40" s="221"/>
      <c r="CG40" s="221"/>
      <c r="CH40" s="221"/>
      <c r="CI40" s="222"/>
      <c r="CJ40" s="221"/>
      <c r="CK40" s="221"/>
      <c r="CL40" s="221"/>
      <c r="CM40" s="221"/>
      <c r="CN40" s="221"/>
      <c r="CO40" s="221"/>
      <c r="CP40" s="221"/>
      <c r="CQ40" s="221"/>
      <c r="CR40" s="221"/>
      <c r="CS40" s="222"/>
      <c r="CT40" s="221"/>
      <c r="CU40" s="221"/>
      <c r="CV40" s="221"/>
      <c r="CW40" s="221"/>
      <c r="CX40" s="221"/>
      <c r="CY40" s="221"/>
      <c r="CZ40" s="221"/>
      <c r="DA40" s="221"/>
      <c r="DB40" s="221"/>
      <c r="DC40" s="223"/>
      <c r="DD40" s="227"/>
      <c r="DE40" s="227"/>
      <c r="DF40" s="227"/>
      <c r="DG40" s="227"/>
    </row>
    <row r="41" spans="2:111" ht="12.75" customHeight="1" x14ac:dyDescent="0.2">
      <c r="B41" s="205"/>
      <c r="C41" s="884" t="str">
        <f>'Technologies Matrix'!A35</f>
        <v>Waste Reduction Toilets</v>
      </c>
      <c r="D41" s="206" t="str">
        <f>'Technologies Matrix'!B35</f>
        <v>Toilets: Composting</v>
      </c>
      <c r="E41" s="247">
        <f>'Technologies Matrix'!S35</f>
        <v>54.285714285714285</v>
      </c>
      <c r="F41" s="207">
        <f>'Technologies Matrix'!T35</f>
        <v>69.523809523809533</v>
      </c>
      <c r="G41" s="209" t="str">
        <f t="shared" ref="G41:BR47" si="24">IF(AND(G$3&gt;=$E41,G$3&lt;=$F41),"T","F")</f>
        <v>F</v>
      </c>
      <c r="H41" s="208" t="str">
        <f t="shared" si="24"/>
        <v>F</v>
      </c>
      <c r="I41" s="208" t="str">
        <f t="shared" si="24"/>
        <v>F</v>
      </c>
      <c r="J41" s="208" t="str">
        <f t="shared" si="24"/>
        <v>F</v>
      </c>
      <c r="K41" s="208" t="str">
        <f t="shared" si="24"/>
        <v>F</v>
      </c>
      <c r="L41" s="208" t="str">
        <f t="shared" si="24"/>
        <v>F</v>
      </c>
      <c r="M41" s="208" t="str">
        <f t="shared" si="24"/>
        <v>F</v>
      </c>
      <c r="N41" s="208" t="str">
        <f t="shared" si="24"/>
        <v>F</v>
      </c>
      <c r="O41" s="208" t="str">
        <f t="shared" si="24"/>
        <v>F</v>
      </c>
      <c r="P41" s="208" t="str">
        <f t="shared" si="24"/>
        <v>F</v>
      </c>
      <c r="Q41" s="209" t="str">
        <f t="shared" ref="Q41:Q47" si="25">IF(AND(Q$3&gt;=$E41,Q$3&lt;=$F41),"T","F")</f>
        <v>F</v>
      </c>
      <c r="R41" s="208" t="str">
        <f t="shared" si="24"/>
        <v>F</v>
      </c>
      <c r="S41" s="208" t="str">
        <f t="shared" si="24"/>
        <v>F</v>
      </c>
      <c r="T41" s="208" t="str">
        <f t="shared" si="24"/>
        <v>F</v>
      </c>
      <c r="U41" s="208" t="str">
        <f t="shared" si="24"/>
        <v>F</v>
      </c>
      <c r="V41" s="208" t="str">
        <f t="shared" si="24"/>
        <v>F</v>
      </c>
      <c r="W41" s="208" t="str">
        <f t="shared" si="24"/>
        <v>F</v>
      </c>
      <c r="X41" s="208" t="str">
        <f t="shared" si="24"/>
        <v>F</v>
      </c>
      <c r="Y41" s="208" t="str">
        <f t="shared" si="24"/>
        <v>F</v>
      </c>
      <c r="Z41" s="208" t="str">
        <f t="shared" si="24"/>
        <v>F</v>
      </c>
      <c r="AA41" s="209" t="str">
        <f t="shared" si="24"/>
        <v>F</v>
      </c>
      <c r="AB41" s="208" t="str">
        <f t="shared" si="24"/>
        <v>F</v>
      </c>
      <c r="AC41" s="208" t="str">
        <f t="shared" si="24"/>
        <v>F</v>
      </c>
      <c r="AD41" s="208" t="str">
        <f t="shared" si="24"/>
        <v>F</v>
      </c>
      <c r="AE41" s="208" t="str">
        <f t="shared" si="24"/>
        <v>F</v>
      </c>
      <c r="AF41" s="208" t="str">
        <f t="shared" si="24"/>
        <v>F</v>
      </c>
      <c r="AG41" s="208" t="str">
        <f t="shared" si="24"/>
        <v>F</v>
      </c>
      <c r="AH41" s="208" t="str">
        <f t="shared" si="24"/>
        <v>F</v>
      </c>
      <c r="AI41" s="208" t="str">
        <f t="shared" si="24"/>
        <v>F</v>
      </c>
      <c r="AJ41" s="208" t="str">
        <f t="shared" si="24"/>
        <v>F</v>
      </c>
      <c r="AK41" s="209" t="str">
        <f t="shared" si="24"/>
        <v>F</v>
      </c>
      <c r="AL41" s="208" t="str">
        <f t="shared" si="24"/>
        <v>F</v>
      </c>
      <c r="AM41" s="208" t="str">
        <f t="shared" si="24"/>
        <v>F</v>
      </c>
      <c r="AN41" s="208" t="str">
        <f t="shared" si="24"/>
        <v>F</v>
      </c>
      <c r="AO41" s="208" t="str">
        <f t="shared" si="24"/>
        <v>F</v>
      </c>
      <c r="AP41" s="208" t="str">
        <f t="shared" si="24"/>
        <v>F</v>
      </c>
      <c r="AQ41" s="208" t="str">
        <f t="shared" si="24"/>
        <v>F</v>
      </c>
      <c r="AR41" s="208" t="str">
        <f t="shared" si="24"/>
        <v>F</v>
      </c>
      <c r="AS41" s="208" t="str">
        <f t="shared" si="24"/>
        <v>F</v>
      </c>
      <c r="AT41" s="208" t="str">
        <f t="shared" si="24"/>
        <v>F</v>
      </c>
      <c r="AU41" s="209" t="str">
        <f t="shared" si="24"/>
        <v>F</v>
      </c>
      <c r="AV41" s="208" t="str">
        <f t="shared" si="24"/>
        <v>F</v>
      </c>
      <c r="AW41" s="208" t="str">
        <f t="shared" si="24"/>
        <v>F</v>
      </c>
      <c r="AX41" s="208" t="str">
        <f t="shared" si="24"/>
        <v>F</v>
      </c>
      <c r="AY41" s="208" t="str">
        <f t="shared" si="24"/>
        <v>F</v>
      </c>
      <c r="AZ41" s="208" t="str">
        <f t="shared" si="24"/>
        <v>F</v>
      </c>
      <c r="BA41" s="208" t="str">
        <f t="shared" si="24"/>
        <v>F</v>
      </c>
      <c r="BB41" s="208" t="str">
        <f t="shared" si="24"/>
        <v>F</v>
      </c>
      <c r="BC41" s="208" t="str">
        <f t="shared" si="24"/>
        <v>F</v>
      </c>
      <c r="BD41" s="208" t="str">
        <f t="shared" si="24"/>
        <v>F</v>
      </c>
      <c r="BE41" s="209" t="str">
        <f t="shared" si="24"/>
        <v>F</v>
      </c>
      <c r="BF41" s="208" t="str">
        <f t="shared" si="24"/>
        <v>F</v>
      </c>
      <c r="BG41" s="208" t="str">
        <f t="shared" si="24"/>
        <v>F</v>
      </c>
      <c r="BH41" s="208" t="str">
        <f t="shared" si="24"/>
        <v>F</v>
      </c>
      <c r="BI41" s="208" t="str">
        <f t="shared" si="24"/>
        <v>F</v>
      </c>
      <c r="BJ41" s="208" t="str">
        <f t="shared" si="24"/>
        <v>T</v>
      </c>
      <c r="BK41" s="208" t="str">
        <f t="shared" si="24"/>
        <v>T</v>
      </c>
      <c r="BL41" s="208" t="str">
        <f t="shared" si="24"/>
        <v>T</v>
      </c>
      <c r="BM41" s="208" t="str">
        <f t="shared" si="24"/>
        <v>T</v>
      </c>
      <c r="BN41" s="208" t="str">
        <f t="shared" si="24"/>
        <v>T</v>
      </c>
      <c r="BO41" s="209" t="str">
        <f t="shared" si="24"/>
        <v>T</v>
      </c>
      <c r="BP41" s="208" t="str">
        <f t="shared" si="24"/>
        <v>T</v>
      </c>
      <c r="BQ41" s="208" t="str">
        <f t="shared" si="24"/>
        <v>T</v>
      </c>
      <c r="BR41" s="208" t="str">
        <f t="shared" si="24"/>
        <v>T</v>
      </c>
      <c r="BS41" s="208" t="str">
        <f t="shared" ref="BS41:DC47" si="26">IF(AND(BS$3&gt;=$E41,BS$3&lt;=$F41),"T","F")</f>
        <v>T</v>
      </c>
      <c r="BT41" s="208" t="str">
        <f t="shared" si="26"/>
        <v>T</v>
      </c>
      <c r="BU41" s="208" t="str">
        <f t="shared" si="26"/>
        <v>T</v>
      </c>
      <c r="BV41" s="208" t="str">
        <f t="shared" si="26"/>
        <v>T</v>
      </c>
      <c r="BW41" s="208" t="str">
        <f t="shared" si="26"/>
        <v>T</v>
      </c>
      <c r="BX41" s="208" t="str">
        <f t="shared" si="26"/>
        <v>T</v>
      </c>
      <c r="BY41" s="209" t="str">
        <f t="shared" si="26"/>
        <v>F</v>
      </c>
      <c r="BZ41" s="208" t="str">
        <f t="shared" si="26"/>
        <v>F</v>
      </c>
      <c r="CA41" s="208" t="str">
        <f t="shared" si="26"/>
        <v>F</v>
      </c>
      <c r="CB41" s="208" t="str">
        <f t="shared" si="26"/>
        <v>F</v>
      </c>
      <c r="CC41" s="208" t="str">
        <f t="shared" si="26"/>
        <v>F</v>
      </c>
      <c r="CD41" s="208" t="str">
        <f t="shared" si="26"/>
        <v>F</v>
      </c>
      <c r="CE41" s="208" t="str">
        <f t="shared" si="26"/>
        <v>F</v>
      </c>
      <c r="CF41" s="208" t="str">
        <f t="shared" si="26"/>
        <v>F</v>
      </c>
      <c r="CG41" s="208" t="str">
        <f t="shared" si="26"/>
        <v>F</v>
      </c>
      <c r="CH41" s="208" t="str">
        <f t="shared" si="26"/>
        <v>F</v>
      </c>
      <c r="CI41" s="209" t="str">
        <f t="shared" si="26"/>
        <v>F</v>
      </c>
      <c r="CJ41" s="208" t="str">
        <f t="shared" si="26"/>
        <v>F</v>
      </c>
      <c r="CK41" s="208" t="str">
        <f t="shared" si="26"/>
        <v>F</v>
      </c>
      <c r="CL41" s="208" t="str">
        <f t="shared" si="26"/>
        <v>F</v>
      </c>
      <c r="CM41" s="208" t="str">
        <f t="shared" si="26"/>
        <v>F</v>
      </c>
      <c r="CN41" s="208" t="str">
        <f t="shared" si="26"/>
        <v>F</v>
      </c>
      <c r="CO41" s="208" t="str">
        <f t="shared" si="26"/>
        <v>F</v>
      </c>
      <c r="CP41" s="208" t="str">
        <f t="shared" si="26"/>
        <v>F</v>
      </c>
      <c r="CQ41" s="208" t="str">
        <f t="shared" si="26"/>
        <v>F</v>
      </c>
      <c r="CR41" s="208" t="str">
        <f t="shared" si="26"/>
        <v>F</v>
      </c>
      <c r="CS41" s="209" t="str">
        <f t="shared" si="26"/>
        <v>F</v>
      </c>
      <c r="CT41" s="208" t="str">
        <f t="shared" si="26"/>
        <v>F</v>
      </c>
      <c r="CU41" s="208" t="str">
        <f t="shared" si="26"/>
        <v>F</v>
      </c>
      <c r="CV41" s="208" t="str">
        <f t="shared" si="26"/>
        <v>F</v>
      </c>
      <c r="CW41" s="208" t="str">
        <f t="shared" si="26"/>
        <v>F</v>
      </c>
      <c r="CX41" s="208" t="str">
        <f t="shared" si="26"/>
        <v>F</v>
      </c>
      <c r="CY41" s="208" t="str">
        <f t="shared" si="26"/>
        <v>F</v>
      </c>
      <c r="CZ41" s="208" t="str">
        <f t="shared" si="26"/>
        <v>F</v>
      </c>
      <c r="DA41" s="208" t="str">
        <f t="shared" si="26"/>
        <v>F</v>
      </c>
      <c r="DB41" s="208" t="str">
        <f t="shared" si="26"/>
        <v>F</v>
      </c>
      <c r="DC41" s="210" t="str">
        <f t="shared" si="26"/>
        <v>F</v>
      </c>
    </row>
    <row r="42" spans="2:111" x14ac:dyDescent="0.2">
      <c r="B42" s="205"/>
      <c r="C42" s="884"/>
      <c r="D42" s="206"/>
      <c r="E42" s="247"/>
      <c r="F42" s="207"/>
      <c r="G42" s="220"/>
      <c r="H42" s="221"/>
      <c r="I42" s="221"/>
      <c r="J42" s="221"/>
      <c r="K42" s="221"/>
      <c r="L42" s="221"/>
      <c r="M42" s="221"/>
      <c r="N42" s="221"/>
      <c r="O42" s="221"/>
      <c r="P42" s="221"/>
      <c r="Q42" s="222"/>
      <c r="R42" s="221"/>
      <c r="S42" s="221"/>
      <c r="T42" s="221"/>
      <c r="U42" s="221"/>
      <c r="V42" s="221"/>
      <c r="W42" s="221"/>
      <c r="X42" s="221"/>
      <c r="Y42" s="221"/>
      <c r="Z42" s="221"/>
      <c r="AA42" s="222"/>
      <c r="AB42" s="221"/>
      <c r="AC42" s="221"/>
      <c r="AD42" s="221"/>
      <c r="AE42" s="221"/>
      <c r="AF42" s="221"/>
      <c r="AG42" s="221"/>
      <c r="AH42" s="221"/>
      <c r="AI42" s="221"/>
      <c r="AJ42" s="221"/>
      <c r="AK42" s="222"/>
      <c r="AL42" s="221"/>
      <c r="AM42" s="221"/>
      <c r="AN42" s="221"/>
      <c r="AO42" s="221"/>
      <c r="AP42" s="221"/>
      <c r="AQ42" s="221"/>
      <c r="AR42" s="221"/>
      <c r="AS42" s="221"/>
      <c r="AT42" s="221"/>
      <c r="AU42" s="222"/>
      <c r="AV42" s="221"/>
      <c r="AW42" s="221"/>
      <c r="AX42" s="221"/>
      <c r="AY42" s="221"/>
      <c r="AZ42" s="221"/>
      <c r="BA42" s="221"/>
      <c r="BB42" s="221"/>
      <c r="BC42" s="221"/>
      <c r="BD42" s="221"/>
      <c r="BE42" s="222"/>
      <c r="BF42" s="221"/>
      <c r="BG42" s="221"/>
      <c r="BH42" s="221"/>
      <c r="BI42" s="221"/>
      <c r="BJ42" s="221"/>
      <c r="BK42" s="221"/>
      <c r="BL42" s="221"/>
      <c r="BM42" s="221"/>
      <c r="BN42" s="221"/>
      <c r="BO42" s="222"/>
      <c r="BP42" s="221"/>
      <c r="BQ42" s="221"/>
      <c r="BR42" s="221"/>
      <c r="BS42" s="221"/>
      <c r="BT42" s="221"/>
      <c r="BU42" s="221"/>
      <c r="BV42" s="221"/>
      <c r="BW42" s="221"/>
      <c r="BX42" s="221"/>
      <c r="BY42" s="222"/>
      <c r="BZ42" s="221"/>
      <c r="CA42" s="221"/>
      <c r="CB42" s="221"/>
      <c r="CC42" s="221"/>
      <c r="CD42" s="221"/>
      <c r="CE42" s="221"/>
      <c r="CF42" s="221"/>
      <c r="CG42" s="221"/>
      <c r="CH42" s="221"/>
      <c r="CI42" s="222"/>
      <c r="CJ42" s="221"/>
      <c r="CK42" s="221"/>
      <c r="CL42" s="221"/>
      <c r="CM42" s="221"/>
      <c r="CN42" s="221"/>
      <c r="CO42" s="221"/>
      <c r="CP42" s="221"/>
      <c r="CQ42" s="221"/>
      <c r="CR42" s="221"/>
      <c r="CS42" s="222"/>
      <c r="CT42" s="221"/>
      <c r="CU42" s="221"/>
      <c r="CV42" s="221"/>
      <c r="CW42" s="221"/>
      <c r="CX42" s="221"/>
      <c r="CY42" s="221"/>
      <c r="CZ42" s="221"/>
      <c r="DA42" s="221"/>
      <c r="DB42" s="221"/>
      <c r="DC42" s="223"/>
    </row>
    <row r="43" spans="2:111" x14ac:dyDescent="0.2">
      <c r="B43" s="205"/>
      <c r="C43" s="884"/>
      <c r="D43" s="206" t="str">
        <f>'Technologies Matrix'!B36</f>
        <v>Toilets: Incinerating</v>
      </c>
      <c r="E43" s="247">
        <f>'Technologies Matrix'!S36</f>
        <v>54.285714285714285</v>
      </c>
      <c r="F43" s="207">
        <f>'Technologies Matrix'!T36</f>
        <v>69.523809523809533</v>
      </c>
      <c r="G43" s="209" t="str">
        <f t="shared" si="24"/>
        <v>F</v>
      </c>
      <c r="H43" s="208" t="str">
        <f t="shared" si="24"/>
        <v>F</v>
      </c>
      <c r="I43" s="208" t="str">
        <f t="shared" si="24"/>
        <v>F</v>
      </c>
      <c r="J43" s="208" t="str">
        <f t="shared" si="24"/>
        <v>F</v>
      </c>
      <c r="K43" s="208" t="str">
        <f t="shared" si="24"/>
        <v>F</v>
      </c>
      <c r="L43" s="208" t="str">
        <f t="shared" si="24"/>
        <v>F</v>
      </c>
      <c r="M43" s="208" t="str">
        <f t="shared" si="24"/>
        <v>F</v>
      </c>
      <c r="N43" s="208" t="str">
        <f t="shared" si="24"/>
        <v>F</v>
      </c>
      <c r="O43" s="208" t="str">
        <f t="shared" si="24"/>
        <v>F</v>
      </c>
      <c r="P43" s="208" t="str">
        <f t="shared" si="24"/>
        <v>F</v>
      </c>
      <c r="Q43" s="209" t="str">
        <f t="shared" si="25"/>
        <v>F</v>
      </c>
      <c r="R43" s="208" t="str">
        <f t="shared" si="24"/>
        <v>F</v>
      </c>
      <c r="S43" s="208" t="str">
        <f t="shared" si="24"/>
        <v>F</v>
      </c>
      <c r="T43" s="208" t="str">
        <f t="shared" si="24"/>
        <v>F</v>
      </c>
      <c r="U43" s="208" t="str">
        <f t="shared" si="24"/>
        <v>F</v>
      </c>
      <c r="V43" s="208" t="str">
        <f t="shared" si="24"/>
        <v>F</v>
      </c>
      <c r="W43" s="208" t="str">
        <f t="shared" si="24"/>
        <v>F</v>
      </c>
      <c r="X43" s="208" t="str">
        <f t="shared" si="24"/>
        <v>F</v>
      </c>
      <c r="Y43" s="208" t="str">
        <f t="shared" si="24"/>
        <v>F</v>
      </c>
      <c r="Z43" s="208" t="str">
        <f t="shared" si="24"/>
        <v>F</v>
      </c>
      <c r="AA43" s="209" t="str">
        <f t="shared" si="24"/>
        <v>F</v>
      </c>
      <c r="AB43" s="208" t="str">
        <f t="shared" si="24"/>
        <v>F</v>
      </c>
      <c r="AC43" s="208" t="str">
        <f t="shared" si="24"/>
        <v>F</v>
      </c>
      <c r="AD43" s="208" t="str">
        <f t="shared" si="24"/>
        <v>F</v>
      </c>
      <c r="AE43" s="208" t="str">
        <f t="shared" si="24"/>
        <v>F</v>
      </c>
      <c r="AF43" s="208" t="str">
        <f t="shared" si="24"/>
        <v>F</v>
      </c>
      <c r="AG43" s="208" t="str">
        <f t="shared" si="24"/>
        <v>F</v>
      </c>
      <c r="AH43" s="208" t="str">
        <f t="shared" si="24"/>
        <v>F</v>
      </c>
      <c r="AI43" s="208" t="str">
        <f t="shared" si="24"/>
        <v>F</v>
      </c>
      <c r="AJ43" s="208" t="str">
        <f t="shared" si="24"/>
        <v>F</v>
      </c>
      <c r="AK43" s="209" t="str">
        <f t="shared" si="24"/>
        <v>F</v>
      </c>
      <c r="AL43" s="208" t="str">
        <f t="shared" si="24"/>
        <v>F</v>
      </c>
      <c r="AM43" s="208" t="str">
        <f t="shared" si="24"/>
        <v>F</v>
      </c>
      <c r="AN43" s="208" t="str">
        <f t="shared" si="24"/>
        <v>F</v>
      </c>
      <c r="AO43" s="208" t="str">
        <f t="shared" si="24"/>
        <v>F</v>
      </c>
      <c r="AP43" s="208" t="str">
        <f t="shared" si="24"/>
        <v>F</v>
      </c>
      <c r="AQ43" s="208" t="str">
        <f t="shared" si="24"/>
        <v>F</v>
      </c>
      <c r="AR43" s="208" t="str">
        <f t="shared" si="24"/>
        <v>F</v>
      </c>
      <c r="AS43" s="208" t="str">
        <f t="shared" si="24"/>
        <v>F</v>
      </c>
      <c r="AT43" s="208" t="str">
        <f t="shared" si="24"/>
        <v>F</v>
      </c>
      <c r="AU43" s="209" t="str">
        <f t="shared" si="24"/>
        <v>F</v>
      </c>
      <c r="AV43" s="208" t="str">
        <f t="shared" si="24"/>
        <v>F</v>
      </c>
      <c r="AW43" s="208" t="str">
        <f t="shared" si="24"/>
        <v>F</v>
      </c>
      <c r="AX43" s="208" t="str">
        <f t="shared" si="24"/>
        <v>F</v>
      </c>
      <c r="AY43" s="208" t="str">
        <f t="shared" si="24"/>
        <v>F</v>
      </c>
      <c r="AZ43" s="208" t="str">
        <f t="shared" si="24"/>
        <v>F</v>
      </c>
      <c r="BA43" s="208" t="str">
        <f t="shared" si="24"/>
        <v>F</v>
      </c>
      <c r="BB43" s="208" t="str">
        <f t="shared" si="24"/>
        <v>F</v>
      </c>
      <c r="BC43" s="208" t="str">
        <f t="shared" si="24"/>
        <v>F</v>
      </c>
      <c r="BD43" s="208" t="str">
        <f t="shared" si="24"/>
        <v>F</v>
      </c>
      <c r="BE43" s="209" t="str">
        <f t="shared" si="24"/>
        <v>F</v>
      </c>
      <c r="BF43" s="208" t="str">
        <f t="shared" si="24"/>
        <v>F</v>
      </c>
      <c r="BG43" s="208" t="str">
        <f t="shared" si="24"/>
        <v>F</v>
      </c>
      <c r="BH43" s="208" t="str">
        <f t="shared" si="24"/>
        <v>F</v>
      </c>
      <c r="BI43" s="208" t="str">
        <f t="shared" si="24"/>
        <v>F</v>
      </c>
      <c r="BJ43" s="208" t="str">
        <f t="shared" si="24"/>
        <v>T</v>
      </c>
      <c r="BK43" s="208" t="str">
        <f t="shared" si="24"/>
        <v>T</v>
      </c>
      <c r="BL43" s="208" t="str">
        <f t="shared" si="24"/>
        <v>T</v>
      </c>
      <c r="BM43" s="208" t="str">
        <f t="shared" si="24"/>
        <v>T</v>
      </c>
      <c r="BN43" s="208" t="str">
        <f t="shared" si="24"/>
        <v>T</v>
      </c>
      <c r="BO43" s="209" t="str">
        <f t="shared" si="24"/>
        <v>T</v>
      </c>
      <c r="BP43" s="208" t="str">
        <f t="shared" si="24"/>
        <v>T</v>
      </c>
      <c r="BQ43" s="208" t="str">
        <f t="shared" si="24"/>
        <v>T</v>
      </c>
      <c r="BR43" s="208" t="str">
        <f t="shared" si="24"/>
        <v>T</v>
      </c>
      <c r="BS43" s="208" t="str">
        <f t="shared" si="26"/>
        <v>T</v>
      </c>
      <c r="BT43" s="208" t="str">
        <f t="shared" si="26"/>
        <v>T</v>
      </c>
      <c r="BU43" s="208" t="str">
        <f t="shared" si="26"/>
        <v>T</v>
      </c>
      <c r="BV43" s="208" t="str">
        <f t="shared" si="26"/>
        <v>T</v>
      </c>
      <c r="BW43" s="208" t="str">
        <f t="shared" si="26"/>
        <v>T</v>
      </c>
      <c r="BX43" s="208" t="str">
        <f t="shared" si="26"/>
        <v>T</v>
      </c>
      <c r="BY43" s="209" t="str">
        <f t="shared" si="26"/>
        <v>F</v>
      </c>
      <c r="BZ43" s="208" t="str">
        <f t="shared" si="26"/>
        <v>F</v>
      </c>
      <c r="CA43" s="208" t="str">
        <f t="shared" si="26"/>
        <v>F</v>
      </c>
      <c r="CB43" s="208" t="str">
        <f t="shared" si="26"/>
        <v>F</v>
      </c>
      <c r="CC43" s="208" t="str">
        <f t="shared" si="26"/>
        <v>F</v>
      </c>
      <c r="CD43" s="208" t="str">
        <f t="shared" si="26"/>
        <v>F</v>
      </c>
      <c r="CE43" s="208" t="str">
        <f t="shared" si="26"/>
        <v>F</v>
      </c>
      <c r="CF43" s="208" t="str">
        <f t="shared" si="26"/>
        <v>F</v>
      </c>
      <c r="CG43" s="208" t="str">
        <f t="shared" si="26"/>
        <v>F</v>
      </c>
      <c r="CH43" s="208" t="str">
        <f t="shared" si="26"/>
        <v>F</v>
      </c>
      <c r="CI43" s="209" t="str">
        <f t="shared" si="26"/>
        <v>F</v>
      </c>
      <c r="CJ43" s="208" t="str">
        <f t="shared" si="26"/>
        <v>F</v>
      </c>
      <c r="CK43" s="208" t="str">
        <f t="shared" si="26"/>
        <v>F</v>
      </c>
      <c r="CL43" s="208" t="str">
        <f t="shared" si="26"/>
        <v>F</v>
      </c>
      <c r="CM43" s="208" t="str">
        <f t="shared" si="26"/>
        <v>F</v>
      </c>
      <c r="CN43" s="208" t="str">
        <f t="shared" si="26"/>
        <v>F</v>
      </c>
      <c r="CO43" s="208" t="str">
        <f t="shared" si="26"/>
        <v>F</v>
      </c>
      <c r="CP43" s="208" t="str">
        <f t="shared" si="26"/>
        <v>F</v>
      </c>
      <c r="CQ43" s="208" t="str">
        <f t="shared" si="26"/>
        <v>F</v>
      </c>
      <c r="CR43" s="208" t="str">
        <f t="shared" si="26"/>
        <v>F</v>
      </c>
      <c r="CS43" s="209" t="str">
        <f t="shared" si="26"/>
        <v>F</v>
      </c>
      <c r="CT43" s="208" t="str">
        <f t="shared" si="26"/>
        <v>F</v>
      </c>
      <c r="CU43" s="208" t="str">
        <f t="shared" si="26"/>
        <v>F</v>
      </c>
      <c r="CV43" s="208" t="str">
        <f t="shared" si="26"/>
        <v>F</v>
      </c>
      <c r="CW43" s="208" t="str">
        <f t="shared" si="26"/>
        <v>F</v>
      </c>
      <c r="CX43" s="208" t="str">
        <f t="shared" si="26"/>
        <v>F</v>
      </c>
      <c r="CY43" s="208" t="str">
        <f t="shared" si="26"/>
        <v>F</v>
      </c>
      <c r="CZ43" s="208" t="str">
        <f t="shared" si="26"/>
        <v>F</v>
      </c>
      <c r="DA43" s="208" t="str">
        <f t="shared" si="26"/>
        <v>F</v>
      </c>
      <c r="DB43" s="208" t="str">
        <f t="shared" si="26"/>
        <v>F</v>
      </c>
      <c r="DC43" s="210" t="str">
        <f t="shared" si="26"/>
        <v>F</v>
      </c>
    </row>
    <row r="44" spans="2:111" x14ac:dyDescent="0.2">
      <c r="B44" s="205"/>
      <c r="C44" s="884"/>
      <c r="D44" s="206"/>
      <c r="E44" s="247"/>
      <c r="F44" s="207"/>
      <c r="G44" s="220"/>
      <c r="H44" s="221"/>
      <c r="I44" s="221"/>
      <c r="J44" s="221"/>
      <c r="K44" s="221"/>
      <c r="L44" s="221"/>
      <c r="M44" s="221"/>
      <c r="N44" s="221"/>
      <c r="O44" s="221"/>
      <c r="P44" s="221"/>
      <c r="Q44" s="222"/>
      <c r="R44" s="221"/>
      <c r="S44" s="221"/>
      <c r="T44" s="221"/>
      <c r="U44" s="221"/>
      <c r="V44" s="221"/>
      <c r="W44" s="221"/>
      <c r="X44" s="221"/>
      <c r="Y44" s="221"/>
      <c r="Z44" s="221"/>
      <c r="AA44" s="222"/>
      <c r="AB44" s="221"/>
      <c r="AC44" s="221"/>
      <c r="AD44" s="221"/>
      <c r="AE44" s="221"/>
      <c r="AF44" s="221"/>
      <c r="AG44" s="221"/>
      <c r="AH44" s="221"/>
      <c r="AI44" s="221"/>
      <c r="AJ44" s="221"/>
      <c r="AK44" s="222"/>
      <c r="AL44" s="221"/>
      <c r="AM44" s="221"/>
      <c r="AN44" s="221"/>
      <c r="AO44" s="221"/>
      <c r="AP44" s="221"/>
      <c r="AQ44" s="221"/>
      <c r="AR44" s="221"/>
      <c r="AS44" s="221"/>
      <c r="AT44" s="221"/>
      <c r="AU44" s="222"/>
      <c r="AV44" s="221"/>
      <c r="AW44" s="221"/>
      <c r="AX44" s="221"/>
      <c r="AY44" s="221"/>
      <c r="AZ44" s="221"/>
      <c r="BA44" s="221"/>
      <c r="BB44" s="221"/>
      <c r="BC44" s="221"/>
      <c r="BD44" s="221"/>
      <c r="BE44" s="222"/>
      <c r="BF44" s="221"/>
      <c r="BG44" s="221"/>
      <c r="BH44" s="221"/>
      <c r="BI44" s="221"/>
      <c r="BJ44" s="221"/>
      <c r="BK44" s="221"/>
      <c r="BL44" s="221"/>
      <c r="BM44" s="221"/>
      <c r="BN44" s="221"/>
      <c r="BO44" s="222"/>
      <c r="BP44" s="221"/>
      <c r="BQ44" s="221"/>
      <c r="BR44" s="221"/>
      <c r="BS44" s="221"/>
      <c r="BT44" s="221"/>
      <c r="BU44" s="221"/>
      <c r="BV44" s="221"/>
      <c r="BW44" s="221"/>
      <c r="BX44" s="221"/>
      <c r="BY44" s="222"/>
      <c r="BZ44" s="221"/>
      <c r="CA44" s="221"/>
      <c r="CB44" s="221"/>
      <c r="CC44" s="221"/>
      <c r="CD44" s="221"/>
      <c r="CE44" s="221"/>
      <c r="CF44" s="221"/>
      <c r="CG44" s="221"/>
      <c r="CH44" s="221"/>
      <c r="CI44" s="222"/>
      <c r="CJ44" s="221"/>
      <c r="CK44" s="221"/>
      <c r="CL44" s="221"/>
      <c r="CM44" s="221"/>
      <c r="CN44" s="221"/>
      <c r="CO44" s="221"/>
      <c r="CP44" s="221"/>
      <c r="CQ44" s="221"/>
      <c r="CR44" s="221"/>
      <c r="CS44" s="222"/>
      <c r="CT44" s="221"/>
      <c r="CU44" s="221"/>
      <c r="CV44" s="221"/>
      <c r="CW44" s="221"/>
      <c r="CX44" s="221"/>
      <c r="CY44" s="221"/>
      <c r="CZ44" s="221"/>
      <c r="DA44" s="221"/>
      <c r="DB44" s="221"/>
      <c r="DC44" s="223"/>
    </row>
    <row r="45" spans="2:111" x14ac:dyDescent="0.2">
      <c r="B45" s="205"/>
      <c r="C45" s="884"/>
      <c r="D45" s="206" t="str">
        <f>'Technologies Matrix'!B37</f>
        <v>Toilets: Packaging</v>
      </c>
      <c r="E45" s="247">
        <f>'Technologies Matrix'!S37</f>
        <v>54.285714285714285</v>
      </c>
      <c r="F45" s="207">
        <f>'Technologies Matrix'!T37</f>
        <v>69.523809523809533</v>
      </c>
      <c r="G45" s="209" t="str">
        <f t="shared" si="24"/>
        <v>F</v>
      </c>
      <c r="H45" s="208" t="str">
        <f t="shared" si="24"/>
        <v>F</v>
      </c>
      <c r="I45" s="208" t="str">
        <f t="shared" si="24"/>
        <v>F</v>
      </c>
      <c r="J45" s="208" t="str">
        <f t="shared" si="24"/>
        <v>F</v>
      </c>
      <c r="K45" s="208" t="str">
        <f t="shared" si="24"/>
        <v>F</v>
      </c>
      <c r="L45" s="208" t="str">
        <f t="shared" si="24"/>
        <v>F</v>
      </c>
      <c r="M45" s="208" t="str">
        <f t="shared" si="24"/>
        <v>F</v>
      </c>
      <c r="N45" s="208" t="str">
        <f t="shared" si="24"/>
        <v>F</v>
      </c>
      <c r="O45" s="208" t="str">
        <f t="shared" si="24"/>
        <v>F</v>
      </c>
      <c r="P45" s="208" t="str">
        <f t="shared" si="24"/>
        <v>F</v>
      </c>
      <c r="Q45" s="209" t="str">
        <f t="shared" si="25"/>
        <v>F</v>
      </c>
      <c r="R45" s="208" t="str">
        <f t="shared" si="24"/>
        <v>F</v>
      </c>
      <c r="S45" s="208" t="str">
        <f t="shared" si="24"/>
        <v>F</v>
      </c>
      <c r="T45" s="208" t="str">
        <f t="shared" si="24"/>
        <v>F</v>
      </c>
      <c r="U45" s="208" t="str">
        <f t="shared" si="24"/>
        <v>F</v>
      </c>
      <c r="V45" s="208" t="str">
        <f t="shared" si="24"/>
        <v>F</v>
      </c>
      <c r="W45" s="208" t="str">
        <f t="shared" si="24"/>
        <v>F</v>
      </c>
      <c r="X45" s="208" t="str">
        <f t="shared" si="24"/>
        <v>F</v>
      </c>
      <c r="Y45" s="208" t="str">
        <f t="shared" si="24"/>
        <v>F</v>
      </c>
      <c r="Z45" s="208" t="str">
        <f t="shared" si="24"/>
        <v>F</v>
      </c>
      <c r="AA45" s="209" t="str">
        <f t="shared" si="24"/>
        <v>F</v>
      </c>
      <c r="AB45" s="208" t="str">
        <f t="shared" si="24"/>
        <v>F</v>
      </c>
      <c r="AC45" s="208" t="str">
        <f t="shared" si="24"/>
        <v>F</v>
      </c>
      <c r="AD45" s="208" t="str">
        <f t="shared" si="24"/>
        <v>F</v>
      </c>
      <c r="AE45" s="208" t="str">
        <f t="shared" si="24"/>
        <v>F</v>
      </c>
      <c r="AF45" s="208" t="str">
        <f t="shared" si="24"/>
        <v>F</v>
      </c>
      <c r="AG45" s="208" t="str">
        <f t="shared" si="24"/>
        <v>F</v>
      </c>
      <c r="AH45" s="208" t="str">
        <f t="shared" si="24"/>
        <v>F</v>
      </c>
      <c r="AI45" s="208" t="str">
        <f t="shared" si="24"/>
        <v>F</v>
      </c>
      <c r="AJ45" s="208" t="str">
        <f t="shared" si="24"/>
        <v>F</v>
      </c>
      <c r="AK45" s="209" t="str">
        <f t="shared" si="24"/>
        <v>F</v>
      </c>
      <c r="AL45" s="208" t="str">
        <f t="shared" si="24"/>
        <v>F</v>
      </c>
      <c r="AM45" s="208" t="str">
        <f t="shared" si="24"/>
        <v>F</v>
      </c>
      <c r="AN45" s="208" t="str">
        <f t="shared" si="24"/>
        <v>F</v>
      </c>
      <c r="AO45" s="208" t="str">
        <f t="shared" si="24"/>
        <v>F</v>
      </c>
      <c r="AP45" s="208" t="str">
        <f t="shared" si="24"/>
        <v>F</v>
      </c>
      <c r="AQ45" s="208" t="str">
        <f t="shared" si="24"/>
        <v>F</v>
      </c>
      <c r="AR45" s="208" t="str">
        <f t="shared" si="24"/>
        <v>F</v>
      </c>
      <c r="AS45" s="208" t="str">
        <f t="shared" si="24"/>
        <v>F</v>
      </c>
      <c r="AT45" s="208" t="str">
        <f t="shared" si="24"/>
        <v>F</v>
      </c>
      <c r="AU45" s="209" t="str">
        <f t="shared" si="24"/>
        <v>F</v>
      </c>
      <c r="AV45" s="208" t="str">
        <f t="shared" si="24"/>
        <v>F</v>
      </c>
      <c r="AW45" s="208" t="str">
        <f t="shared" si="24"/>
        <v>F</v>
      </c>
      <c r="AX45" s="208" t="str">
        <f t="shared" si="24"/>
        <v>F</v>
      </c>
      <c r="AY45" s="208" t="str">
        <f t="shared" si="24"/>
        <v>F</v>
      </c>
      <c r="AZ45" s="208" t="str">
        <f t="shared" si="24"/>
        <v>F</v>
      </c>
      <c r="BA45" s="208" t="str">
        <f t="shared" si="24"/>
        <v>F</v>
      </c>
      <c r="BB45" s="208" t="str">
        <f t="shared" si="24"/>
        <v>F</v>
      </c>
      <c r="BC45" s="208" t="str">
        <f t="shared" si="24"/>
        <v>F</v>
      </c>
      <c r="BD45" s="208" t="str">
        <f t="shared" si="24"/>
        <v>F</v>
      </c>
      <c r="BE45" s="209" t="str">
        <f t="shared" si="24"/>
        <v>F</v>
      </c>
      <c r="BF45" s="208" t="str">
        <f t="shared" si="24"/>
        <v>F</v>
      </c>
      <c r="BG45" s="208" t="str">
        <f t="shared" si="24"/>
        <v>F</v>
      </c>
      <c r="BH45" s="208" t="str">
        <f t="shared" si="24"/>
        <v>F</v>
      </c>
      <c r="BI45" s="208" t="str">
        <f t="shared" si="24"/>
        <v>F</v>
      </c>
      <c r="BJ45" s="208" t="str">
        <f t="shared" si="24"/>
        <v>T</v>
      </c>
      <c r="BK45" s="208" t="str">
        <f t="shared" si="24"/>
        <v>T</v>
      </c>
      <c r="BL45" s="208" t="str">
        <f t="shared" si="24"/>
        <v>T</v>
      </c>
      <c r="BM45" s="208" t="str">
        <f t="shared" si="24"/>
        <v>T</v>
      </c>
      <c r="BN45" s="208" t="str">
        <f t="shared" si="24"/>
        <v>T</v>
      </c>
      <c r="BO45" s="209" t="str">
        <f t="shared" si="24"/>
        <v>T</v>
      </c>
      <c r="BP45" s="208" t="str">
        <f t="shared" si="24"/>
        <v>T</v>
      </c>
      <c r="BQ45" s="208" t="str">
        <f t="shared" si="24"/>
        <v>T</v>
      </c>
      <c r="BR45" s="208" t="str">
        <f t="shared" si="24"/>
        <v>T</v>
      </c>
      <c r="BS45" s="208" t="str">
        <f t="shared" si="26"/>
        <v>T</v>
      </c>
      <c r="BT45" s="208" t="str">
        <f t="shared" si="26"/>
        <v>T</v>
      </c>
      <c r="BU45" s="208" t="str">
        <f t="shared" si="26"/>
        <v>T</v>
      </c>
      <c r="BV45" s="208" t="str">
        <f t="shared" si="26"/>
        <v>T</v>
      </c>
      <c r="BW45" s="208" t="str">
        <f t="shared" si="26"/>
        <v>T</v>
      </c>
      <c r="BX45" s="208" t="str">
        <f t="shared" si="26"/>
        <v>T</v>
      </c>
      <c r="BY45" s="209" t="str">
        <f t="shared" si="26"/>
        <v>F</v>
      </c>
      <c r="BZ45" s="208" t="str">
        <f t="shared" si="26"/>
        <v>F</v>
      </c>
      <c r="CA45" s="208" t="str">
        <f t="shared" si="26"/>
        <v>F</v>
      </c>
      <c r="CB45" s="208" t="str">
        <f t="shared" si="26"/>
        <v>F</v>
      </c>
      <c r="CC45" s="208" t="str">
        <f t="shared" si="26"/>
        <v>F</v>
      </c>
      <c r="CD45" s="208" t="str">
        <f t="shared" si="26"/>
        <v>F</v>
      </c>
      <c r="CE45" s="208" t="str">
        <f t="shared" si="26"/>
        <v>F</v>
      </c>
      <c r="CF45" s="208" t="str">
        <f t="shared" si="26"/>
        <v>F</v>
      </c>
      <c r="CG45" s="208" t="str">
        <f t="shared" si="26"/>
        <v>F</v>
      </c>
      <c r="CH45" s="208" t="str">
        <f t="shared" si="26"/>
        <v>F</v>
      </c>
      <c r="CI45" s="209" t="str">
        <f t="shared" si="26"/>
        <v>F</v>
      </c>
      <c r="CJ45" s="208" t="str">
        <f t="shared" si="26"/>
        <v>F</v>
      </c>
      <c r="CK45" s="208" t="str">
        <f t="shared" si="26"/>
        <v>F</v>
      </c>
      <c r="CL45" s="208" t="str">
        <f t="shared" si="26"/>
        <v>F</v>
      </c>
      <c r="CM45" s="208" t="str">
        <f t="shared" si="26"/>
        <v>F</v>
      </c>
      <c r="CN45" s="208" t="str">
        <f t="shared" si="26"/>
        <v>F</v>
      </c>
      <c r="CO45" s="208" t="str">
        <f t="shared" si="26"/>
        <v>F</v>
      </c>
      <c r="CP45" s="208" t="str">
        <f t="shared" si="26"/>
        <v>F</v>
      </c>
      <c r="CQ45" s="208" t="str">
        <f t="shared" si="26"/>
        <v>F</v>
      </c>
      <c r="CR45" s="208" t="str">
        <f t="shared" si="26"/>
        <v>F</v>
      </c>
      <c r="CS45" s="209" t="str">
        <f t="shared" si="26"/>
        <v>F</v>
      </c>
      <c r="CT45" s="208" t="str">
        <f t="shared" si="26"/>
        <v>F</v>
      </c>
      <c r="CU45" s="208" t="str">
        <f t="shared" si="26"/>
        <v>F</v>
      </c>
      <c r="CV45" s="208" t="str">
        <f t="shared" si="26"/>
        <v>F</v>
      </c>
      <c r="CW45" s="208" t="str">
        <f t="shared" si="26"/>
        <v>F</v>
      </c>
      <c r="CX45" s="208" t="str">
        <f t="shared" si="26"/>
        <v>F</v>
      </c>
      <c r="CY45" s="208" t="str">
        <f t="shared" si="26"/>
        <v>F</v>
      </c>
      <c r="CZ45" s="208" t="str">
        <f t="shared" si="26"/>
        <v>F</v>
      </c>
      <c r="DA45" s="208" t="str">
        <f t="shared" si="26"/>
        <v>F</v>
      </c>
      <c r="DB45" s="208" t="str">
        <f t="shared" si="26"/>
        <v>F</v>
      </c>
      <c r="DC45" s="210" t="str">
        <f t="shared" si="26"/>
        <v>F</v>
      </c>
    </row>
    <row r="46" spans="2:111" x14ac:dyDescent="0.2">
      <c r="B46" s="205"/>
      <c r="C46" s="884"/>
      <c r="D46" s="206"/>
      <c r="E46" s="247"/>
      <c r="F46" s="207"/>
      <c r="G46" s="220"/>
      <c r="H46" s="221"/>
      <c r="I46" s="221"/>
      <c r="J46" s="221"/>
      <c r="K46" s="221"/>
      <c r="L46" s="221"/>
      <c r="M46" s="221"/>
      <c r="N46" s="221"/>
      <c r="O46" s="221"/>
      <c r="P46" s="221"/>
      <c r="Q46" s="222"/>
      <c r="R46" s="221"/>
      <c r="S46" s="221"/>
      <c r="T46" s="221"/>
      <c r="U46" s="221"/>
      <c r="V46" s="221"/>
      <c r="W46" s="221"/>
      <c r="X46" s="221"/>
      <c r="Y46" s="221"/>
      <c r="Z46" s="221"/>
      <c r="AA46" s="222"/>
      <c r="AB46" s="221"/>
      <c r="AC46" s="221"/>
      <c r="AD46" s="221"/>
      <c r="AE46" s="221"/>
      <c r="AF46" s="221"/>
      <c r="AG46" s="221"/>
      <c r="AH46" s="221"/>
      <c r="AI46" s="221"/>
      <c r="AJ46" s="221"/>
      <c r="AK46" s="222"/>
      <c r="AL46" s="221"/>
      <c r="AM46" s="221"/>
      <c r="AN46" s="221"/>
      <c r="AO46" s="221"/>
      <c r="AP46" s="221"/>
      <c r="AQ46" s="221"/>
      <c r="AR46" s="221"/>
      <c r="AS46" s="221"/>
      <c r="AT46" s="221"/>
      <c r="AU46" s="222"/>
      <c r="AV46" s="221"/>
      <c r="AW46" s="221"/>
      <c r="AX46" s="221"/>
      <c r="AY46" s="221"/>
      <c r="AZ46" s="221"/>
      <c r="BA46" s="221"/>
      <c r="BB46" s="221"/>
      <c r="BC46" s="221"/>
      <c r="BD46" s="221"/>
      <c r="BE46" s="222"/>
      <c r="BF46" s="221"/>
      <c r="BG46" s="221"/>
      <c r="BH46" s="221"/>
      <c r="BI46" s="221"/>
      <c r="BJ46" s="221"/>
      <c r="BK46" s="221"/>
      <c r="BL46" s="221"/>
      <c r="BM46" s="221"/>
      <c r="BN46" s="221"/>
      <c r="BO46" s="222"/>
      <c r="BP46" s="221"/>
      <c r="BQ46" s="221"/>
      <c r="BR46" s="221"/>
      <c r="BS46" s="221"/>
      <c r="BT46" s="221"/>
      <c r="BU46" s="221"/>
      <c r="BV46" s="221"/>
      <c r="BW46" s="221"/>
      <c r="BX46" s="221"/>
      <c r="BY46" s="222"/>
      <c r="BZ46" s="221"/>
      <c r="CA46" s="221"/>
      <c r="CB46" s="221"/>
      <c r="CC46" s="221"/>
      <c r="CD46" s="221"/>
      <c r="CE46" s="221"/>
      <c r="CF46" s="221"/>
      <c r="CG46" s="221"/>
      <c r="CH46" s="221"/>
      <c r="CI46" s="222"/>
      <c r="CJ46" s="221"/>
      <c r="CK46" s="221"/>
      <c r="CL46" s="221"/>
      <c r="CM46" s="221"/>
      <c r="CN46" s="221"/>
      <c r="CO46" s="221"/>
      <c r="CP46" s="221"/>
      <c r="CQ46" s="221"/>
      <c r="CR46" s="221"/>
      <c r="CS46" s="222"/>
      <c r="CT46" s="221"/>
      <c r="CU46" s="221"/>
      <c r="CV46" s="221"/>
      <c r="CW46" s="221"/>
      <c r="CX46" s="221"/>
      <c r="CY46" s="221"/>
      <c r="CZ46" s="221"/>
      <c r="DA46" s="221"/>
      <c r="DB46" s="221"/>
      <c r="DC46" s="223"/>
    </row>
    <row r="47" spans="2:111" x14ac:dyDescent="0.2">
      <c r="B47" s="205"/>
      <c r="C47" s="884"/>
      <c r="D47" s="206" t="str">
        <f>'Technologies Matrix'!B39</f>
        <v>Public Facility: Urine Diverting</v>
      </c>
      <c r="E47" s="247">
        <f>'Technologies Matrix'!S39</f>
        <v>8.5714285714285747</v>
      </c>
      <c r="F47" s="207">
        <f>'Technologies Matrix'!T39</f>
        <v>39.047619047619044</v>
      </c>
      <c r="G47" s="209" t="str">
        <f t="shared" si="24"/>
        <v>F</v>
      </c>
      <c r="H47" s="208" t="str">
        <f t="shared" si="24"/>
        <v>F</v>
      </c>
      <c r="I47" s="208" t="str">
        <f t="shared" si="24"/>
        <v>F</v>
      </c>
      <c r="J47" s="208" t="str">
        <f t="shared" si="24"/>
        <v>F</v>
      </c>
      <c r="K47" s="208" t="str">
        <f t="shared" si="24"/>
        <v>F</v>
      </c>
      <c r="L47" s="208" t="str">
        <f t="shared" si="24"/>
        <v>F</v>
      </c>
      <c r="M47" s="208" t="str">
        <f t="shared" si="24"/>
        <v>F</v>
      </c>
      <c r="N47" s="208" t="str">
        <f t="shared" si="24"/>
        <v>F</v>
      </c>
      <c r="O47" s="208" t="str">
        <f t="shared" si="24"/>
        <v>F</v>
      </c>
      <c r="P47" s="208" t="str">
        <f t="shared" si="24"/>
        <v>T</v>
      </c>
      <c r="Q47" s="209" t="str">
        <f t="shared" si="25"/>
        <v>T</v>
      </c>
      <c r="R47" s="208" t="str">
        <f t="shared" si="24"/>
        <v>T</v>
      </c>
      <c r="S47" s="208" t="str">
        <f t="shared" si="24"/>
        <v>T</v>
      </c>
      <c r="T47" s="208" t="str">
        <f t="shared" si="24"/>
        <v>T</v>
      </c>
      <c r="U47" s="208" t="str">
        <f t="shared" si="24"/>
        <v>T</v>
      </c>
      <c r="V47" s="208" t="str">
        <f t="shared" si="24"/>
        <v>T</v>
      </c>
      <c r="W47" s="208" t="str">
        <f t="shared" si="24"/>
        <v>T</v>
      </c>
      <c r="X47" s="208" t="str">
        <f t="shared" si="24"/>
        <v>T</v>
      </c>
      <c r="Y47" s="208" t="str">
        <f t="shared" si="24"/>
        <v>T</v>
      </c>
      <c r="Z47" s="208" t="str">
        <f t="shared" si="24"/>
        <v>T</v>
      </c>
      <c r="AA47" s="209" t="str">
        <f t="shared" si="24"/>
        <v>T</v>
      </c>
      <c r="AB47" s="208" t="str">
        <f t="shared" si="24"/>
        <v>T</v>
      </c>
      <c r="AC47" s="208" t="str">
        <f t="shared" si="24"/>
        <v>T</v>
      </c>
      <c r="AD47" s="208" t="str">
        <f t="shared" si="24"/>
        <v>T</v>
      </c>
      <c r="AE47" s="208" t="str">
        <f t="shared" si="24"/>
        <v>T</v>
      </c>
      <c r="AF47" s="208" t="str">
        <f t="shared" si="24"/>
        <v>T</v>
      </c>
      <c r="AG47" s="208" t="str">
        <f t="shared" si="24"/>
        <v>T</v>
      </c>
      <c r="AH47" s="208" t="str">
        <f t="shared" si="24"/>
        <v>T</v>
      </c>
      <c r="AI47" s="208" t="str">
        <f t="shared" si="24"/>
        <v>T</v>
      </c>
      <c r="AJ47" s="208" t="str">
        <f t="shared" si="24"/>
        <v>T</v>
      </c>
      <c r="AK47" s="209" t="str">
        <f t="shared" si="24"/>
        <v>T</v>
      </c>
      <c r="AL47" s="208" t="str">
        <f t="shared" si="24"/>
        <v>T</v>
      </c>
      <c r="AM47" s="208" t="str">
        <f t="shared" si="24"/>
        <v>T</v>
      </c>
      <c r="AN47" s="208" t="str">
        <f t="shared" si="24"/>
        <v>T</v>
      </c>
      <c r="AO47" s="208" t="str">
        <f t="shared" si="24"/>
        <v>T</v>
      </c>
      <c r="AP47" s="208" t="str">
        <f t="shared" si="24"/>
        <v>T</v>
      </c>
      <c r="AQ47" s="208" t="str">
        <f t="shared" si="24"/>
        <v>T</v>
      </c>
      <c r="AR47" s="208" t="str">
        <f t="shared" si="24"/>
        <v>T</v>
      </c>
      <c r="AS47" s="208" t="str">
        <f t="shared" si="24"/>
        <v>T</v>
      </c>
      <c r="AT47" s="208" t="str">
        <f t="shared" si="24"/>
        <v>T</v>
      </c>
      <c r="AU47" s="209" t="str">
        <f t="shared" si="24"/>
        <v>F</v>
      </c>
      <c r="AV47" s="208" t="str">
        <f t="shared" si="24"/>
        <v>F</v>
      </c>
      <c r="AW47" s="208" t="str">
        <f t="shared" si="24"/>
        <v>F</v>
      </c>
      <c r="AX47" s="208" t="str">
        <f t="shared" si="24"/>
        <v>F</v>
      </c>
      <c r="AY47" s="208" t="str">
        <f t="shared" si="24"/>
        <v>F</v>
      </c>
      <c r="AZ47" s="208" t="str">
        <f t="shared" si="24"/>
        <v>F</v>
      </c>
      <c r="BA47" s="208" t="str">
        <f t="shared" si="24"/>
        <v>F</v>
      </c>
      <c r="BB47" s="208" t="str">
        <f t="shared" si="24"/>
        <v>F</v>
      </c>
      <c r="BC47" s="208" t="str">
        <f t="shared" si="24"/>
        <v>F</v>
      </c>
      <c r="BD47" s="208" t="str">
        <f t="shared" si="24"/>
        <v>F</v>
      </c>
      <c r="BE47" s="209" t="str">
        <f t="shared" si="24"/>
        <v>F</v>
      </c>
      <c r="BF47" s="208" t="str">
        <f t="shared" si="24"/>
        <v>F</v>
      </c>
      <c r="BG47" s="208" t="str">
        <f t="shared" si="24"/>
        <v>F</v>
      </c>
      <c r="BH47" s="208" t="str">
        <f t="shared" si="24"/>
        <v>F</v>
      </c>
      <c r="BI47" s="208" t="str">
        <f t="shared" si="24"/>
        <v>F</v>
      </c>
      <c r="BJ47" s="208" t="str">
        <f t="shared" si="24"/>
        <v>F</v>
      </c>
      <c r="BK47" s="208" t="str">
        <f t="shared" si="24"/>
        <v>F</v>
      </c>
      <c r="BL47" s="208" t="str">
        <f t="shared" si="24"/>
        <v>F</v>
      </c>
      <c r="BM47" s="208" t="str">
        <f t="shared" si="24"/>
        <v>F</v>
      </c>
      <c r="BN47" s="208" t="str">
        <f t="shared" si="24"/>
        <v>F</v>
      </c>
      <c r="BO47" s="209" t="str">
        <f t="shared" si="24"/>
        <v>F</v>
      </c>
      <c r="BP47" s="208" t="str">
        <f t="shared" si="24"/>
        <v>F</v>
      </c>
      <c r="BQ47" s="208" t="str">
        <f t="shared" si="24"/>
        <v>F</v>
      </c>
      <c r="BR47" s="208" t="str">
        <f>IF(AND(BR$3&gt;=$E47,BR$3&lt;=$F47),"T","F")</f>
        <v>F</v>
      </c>
      <c r="BS47" s="208" t="str">
        <f t="shared" si="26"/>
        <v>F</v>
      </c>
      <c r="BT47" s="208" t="str">
        <f t="shared" si="26"/>
        <v>F</v>
      </c>
      <c r="BU47" s="208" t="str">
        <f t="shared" si="26"/>
        <v>F</v>
      </c>
      <c r="BV47" s="208" t="str">
        <f t="shared" si="26"/>
        <v>F</v>
      </c>
      <c r="BW47" s="208" t="str">
        <f t="shared" si="26"/>
        <v>F</v>
      </c>
      <c r="BX47" s="208" t="str">
        <f t="shared" si="26"/>
        <v>F</v>
      </c>
      <c r="BY47" s="209" t="str">
        <f t="shared" si="26"/>
        <v>F</v>
      </c>
      <c r="BZ47" s="208" t="str">
        <f t="shared" si="26"/>
        <v>F</v>
      </c>
      <c r="CA47" s="208" t="str">
        <f t="shared" si="26"/>
        <v>F</v>
      </c>
      <c r="CB47" s="208" t="str">
        <f t="shared" si="26"/>
        <v>F</v>
      </c>
      <c r="CC47" s="208" t="str">
        <f t="shared" si="26"/>
        <v>F</v>
      </c>
      <c r="CD47" s="208" t="str">
        <f t="shared" si="26"/>
        <v>F</v>
      </c>
      <c r="CE47" s="208" t="str">
        <f t="shared" si="26"/>
        <v>F</v>
      </c>
      <c r="CF47" s="208" t="str">
        <f t="shared" si="26"/>
        <v>F</v>
      </c>
      <c r="CG47" s="208" t="str">
        <f t="shared" si="26"/>
        <v>F</v>
      </c>
      <c r="CH47" s="208" t="str">
        <f t="shared" si="26"/>
        <v>F</v>
      </c>
      <c r="CI47" s="209" t="str">
        <f t="shared" si="26"/>
        <v>F</v>
      </c>
      <c r="CJ47" s="208" t="str">
        <f t="shared" si="26"/>
        <v>F</v>
      </c>
      <c r="CK47" s="208" t="str">
        <f t="shared" si="26"/>
        <v>F</v>
      </c>
      <c r="CL47" s="208" t="str">
        <f t="shared" si="26"/>
        <v>F</v>
      </c>
      <c r="CM47" s="208" t="str">
        <f t="shared" si="26"/>
        <v>F</v>
      </c>
      <c r="CN47" s="208" t="str">
        <f t="shared" si="26"/>
        <v>F</v>
      </c>
      <c r="CO47" s="208" t="str">
        <f t="shared" si="26"/>
        <v>F</v>
      </c>
      <c r="CP47" s="208" t="str">
        <f t="shared" si="26"/>
        <v>F</v>
      </c>
      <c r="CQ47" s="208" t="str">
        <f t="shared" si="26"/>
        <v>F</v>
      </c>
      <c r="CR47" s="208" t="str">
        <f t="shared" si="26"/>
        <v>F</v>
      </c>
      <c r="CS47" s="209" t="str">
        <f t="shared" si="26"/>
        <v>F</v>
      </c>
      <c r="CT47" s="208" t="str">
        <f t="shared" si="26"/>
        <v>F</v>
      </c>
      <c r="CU47" s="208" t="str">
        <f t="shared" si="26"/>
        <v>F</v>
      </c>
      <c r="CV47" s="208" t="str">
        <f t="shared" si="26"/>
        <v>F</v>
      </c>
      <c r="CW47" s="208" t="str">
        <f t="shared" si="26"/>
        <v>F</v>
      </c>
      <c r="CX47" s="208" t="str">
        <f t="shared" si="26"/>
        <v>F</v>
      </c>
      <c r="CY47" s="208" t="str">
        <f t="shared" si="26"/>
        <v>F</v>
      </c>
      <c r="CZ47" s="208" t="str">
        <f t="shared" si="26"/>
        <v>F</v>
      </c>
      <c r="DA47" s="208" t="str">
        <f t="shared" si="26"/>
        <v>F</v>
      </c>
      <c r="DB47" s="208" t="str">
        <f t="shared" si="26"/>
        <v>F</v>
      </c>
      <c r="DC47" s="210" t="str">
        <f t="shared" si="26"/>
        <v>F</v>
      </c>
    </row>
    <row r="48" spans="2:111" s="214" customFormat="1" x14ac:dyDescent="0.2">
      <c r="B48" s="215"/>
      <c r="C48" s="226"/>
      <c r="D48" s="206"/>
      <c r="E48" s="247"/>
      <c r="F48" s="207"/>
      <c r="G48" s="220"/>
      <c r="H48" s="221"/>
      <c r="I48" s="221"/>
      <c r="J48" s="221"/>
      <c r="K48" s="221"/>
      <c r="L48" s="221"/>
      <c r="M48" s="221"/>
      <c r="N48" s="221"/>
      <c r="O48" s="221"/>
      <c r="P48" s="221"/>
      <c r="Q48" s="222"/>
      <c r="R48" s="221"/>
      <c r="S48" s="221"/>
      <c r="T48" s="221"/>
      <c r="U48" s="221"/>
      <c r="V48" s="221"/>
      <c r="W48" s="221"/>
      <c r="X48" s="221"/>
      <c r="Y48" s="221"/>
      <c r="Z48" s="221"/>
      <c r="AA48" s="222"/>
      <c r="AB48" s="221"/>
      <c r="AC48" s="221"/>
      <c r="AD48" s="221"/>
      <c r="AE48" s="221"/>
      <c r="AF48" s="221"/>
      <c r="AG48" s="221"/>
      <c r="AH48" s="221"/>
      <c r="AI48" s="221"/>
      <c r="AJ48" s="221"/>
      <c r="AK48" s="222"/>
      <c r="AL48" s="221"/>
      <c r="AM48" s="221"/>
      <c r="AN48" s="221"/>
      <c r="AO48" s="221"/>
      <c r="AP48" s="221"/>
      <c r="AQ48" s="221"/>
      <c r="AR48" s="221"/>
      <c r="AS48" s="221"/>
      <c r="AT48" s="221"/>
      <c r="AU48" s="222"/>
      <c r="AV48" s="221"/>
      <c r="AW48" s="221"/>
      <c r="AX48" s="221"/>
      <c r="AY48" s="221"/>
      <c r="AZ48" s="221"/>
      <c r="BA48" s="221"/>
      <c r="BB48" s="221"/>
      <c r="BC48" s="221"/>
      <c r="BD48" s="221"/>
      <c r="BE48" s="222"/>
      <c r="BF48" s="221"/>
      <c r="BG48" s="221"/>
      <c r="BH48" s="221"/>
      <c r="BI48" s="221"/>
      <c r="BJ48" s="221"/>
      <c r="BK48" s="221"/>
      <c r="BL48" s="221"/>
      <c r="BM48" s="221"/>
      <c r="BN48" s="221"/>
      <c r="BO48" s="222"/>
      <c r="BP48" s="221"/>
      <c r="BQ48" s="221"/>
      <c r="BR48" s="221"/>
      <c r="BS48" s="221"/>
      <c r="BT48" s="221"/>
      <c r="BU48" s="221"/>
      <c r="BV48" s="221"/>
      <c r="BW48" s="221"/>
      <c r="BX48" s="221"/>
      <c r="BY48" s="222"/>
      <c r="BZ48" s="221"/>
      <c r="CA48" s="221"/>
      <c r="CB48" s="221"/>
      <c r="CC48" s="221"/>
      <c r="CD48" s="221"/>
      <c r="CE48" s="221"/>
      <c r="CF48" s="221"/>
      <c r="CG48" s="221"/>
      <c r="CH48" s="221"/>
      <c r="CI48" s="222"/>
      <c r="CJ48" s="221"/>
      <c r="CK48" s="221"/>
      <c r="CL48" s="221"/>
      <c r="CM48" s="221"/>
      <c r="CN48" s="221"/>
      <c r="CO48" s="221"/>
      <c r="CP48" s="221"/>
      <c r="CQ48" s="221"/>
      <c r="CR48" s="221"/>
      <c r="CS48" s="222"/>
      <c r="CT48" s="221"/>
      <c r="CU48" s="221"/>
      <c r="CV48" s="221"/>
      <c r="CW48" s="221"/>
      <c r="CX48" s="221"/>
      <c r="CY48" s="221"/>
      <c r="CZ48" s="221"/>
      <c r="DA48" s="221"/>
      <c r="DB48" s="221"/>
      <c r="DC48" s="223"/>
      <c r="DD48" s="227"/>
      <c r="DE48" s="227"/>
      <c r="DF48" s="227"/>
      <c r="DG48" s="227"/>
    </row>
    <row r="49" spans="2:111" ht="12.75" customHeight="1" x14ac:dyDescent="0.2">
      <c r="B49" s="205"/>
      <c r="C49" s="880" t="str">
        <f>'Technologies Matrix'!A40</f>
        <v>Non-Structural Technologies</v>
      </c>
      <c r="D49" s="206" t="str">
        <f>'Technologies Matrix'!B40</f>
        <v>Fertilizer Management</v>
      </c>
      <c r="E49" s="247">
        <f>'Technologies Matrix'!S40</f>
        <v>25</v>
      </c>
      <c r="F49" s="207">
        <f>'Technologies Matrix'!T40</f>
        <v>75</v>
      </c>
      <c r="G49" s="209" t="str">
        <f t="shared" ref="G49:BR49" si="27">IF(AND(G$3&gt;=$E49,G$3&lt;=$F49),"T","F")</f>
        <v>F</v>
      </c>
      <c r="H49" s="208" t="str">
        <f t="shared" si="27"/>
        <v>F</v>
      </c>
      <c r="I49" s="208" t="str">
        <f t="shared" si="27"/>
        <v>F</v>
      </c>
      <c r="J49" s="208" t="str">
        <f t="shared" si="27"/>
        <v>F</v>
      </c>
      <c r="K49" s="208" t="str">
        <f t="shared" si="27"/>
        <v>F</v>
      </c>
      <c r="L49" s="208" t="str">
        <f t="shared" si="27"/>
        <v>F</v>
      </c>
      <c r="M49" s="208" t="str">
        <f t="shared" si="27"/>
        <v>F</v>
      </c>
      <c r="N49" s="208" t="str">
        <f t="shared" si="27"/>
        <v>F</v>
      </c>
      <c r="O49" s="208" t="str">
        <f t="shared" si="27"/>
        <v>F</v>
      </c>
      <c r="P49" s="208" t="str">
        <f t="shared" si="27"/>
        <v>F</v>
      </c>
      <c r="Q49" s="209" t="str">
        <f t="shared" si="27"/>
        <v>F</v>
      </c>
      <c r="R49" s="208" t="str">
        <f t="shared" si="27"/>
        <v>F</v>
      </c>
      <c r="S49" s="208" t="str">
        <f t="shared" si="27"/>
        <v>F</v>
      </c>
      <c r="T49" s="208" t="str">
        <f t="shared" si="27"/>
        <v>F</v>
      </c>
      <c r="U49" s="208" t="str">
        <f t="shared" si="27"/>
        <v>F</v>
      </c>
      <c r="V49" s="208" t="str">
        <f t="shared" si="27"/>
        <v>F</v>
      </c>
      <c r="W49" s="208" t="str">
        <f t="shared" si="27"/>
        <v>F</v>
      </c>
      <c r="X49" s="208" t="str">
        <f t="shared" si="27"/>
        <v>F</v>
      </c>
      <c r="Y49" s="208" t="str">
        <f t="shared" si="27"/>
        <v>F</v>
      </c>
      <c r="Z49" s="208" t="str">
        <f t="shared" si="27"/>
        <v>F</v>
      </c>
      <c r="AA49" s="209" t="str">
        <f t="shared" si="27"/>
        <v>F</v>
      </c>
      <c r="AB49" s="208" t="str">
        <f t="shared" si="27"/>
        <v>F</v>
      </c>
      <c r="AC49" s="208" t="str">
        <f t="shared" si="27"/>
        <v>F</v>
      </c>
      <c r="AD49" s="208" t="str">
        <f t="shared" si="27"/>
        <v>F</v>
      </c>
      <c r="AE49" s="208" t="str">
        <f t="shared" si="27"/>
        <v>F</v>
      </c>
      <c r="AF49" s="208" t="str">
        <f t="shared" si="27"/>
        <v>T</v>
      </c>
      <c r="AG49" s="208" t="str">
        <f t="shared" si="27"/>
        <v>T</v>
      </c>
      <c r="AH49" s="208" t="str">
        <f t="shared" si="27"/>
        <v>T</v>
      </c>
      <c r="AI49" s="208" t="str">
        <f t="shared" si="27"/>
        <v>T</v>
      </c>
      <c r="AJ49" s="208" t="str">
        <f t="shared" si="27"/>
        <v>T</v>
      </c>
      <c r="AK49" s="209" t="str">
        <f t="shared" si="27"/>
        <v>T</v>
      </c>
      <c r="AL49" s="208" t="str">
        <f t="shared" si="27"/>
        <v>T</v>
      </c>
      <c r="AM49" s="208" t="str">
        <f t="shared" si="27"/>
        <v>T</v>
      </c>
      <c r="AN49" s="208" t="str">
        <f t="shared" si="27"/>
        <v>T</v>
      </c>
      <c r="AO49" s="208" t="str">
        <f t="shared" si="27"/>
        <v>T</v>
      </c>
      <c r="AP49" s="208" t="str">
        <f t="shared" si="27"/>
        <v>T</v>
      </c>
      <c r="AQ49" s="208" t="str">
        <f t="shared" si="27"/>
        <v>T</v>
      </c>
      <c r="AR49" s="208" t="str">
        <f t="shared" si="27"/>
        <v>T</v>
      </c>
      <c r="AS49" s="208" t="str">
        <f t="shared" si="27"/>
        <v>T</v>
      </c>
      <c r="AT49" s="208" t="str">
        <f t="shared" si="27"/>
        <v>T</v>
      </c>
      <c r="AU49" s="209" t="str">
        <f t="shared" si="27"/>
        <v>T</v>
      </c>
      <c r="AV49" s="208" t="str">
        <f t="shared" si="27"/>
        <v>T</v>
      </c>
      <c r="AW49" s="208" t="str">
        <f t="shared" si="27"/>
        <v>T</v>
      </c>
      <c r="AX49" s="208" t="str">
        <f t="shared" si="27"/>
        <v>T</v>
      </c>
      <c r="AY49" s="208" t="str">
        <f t="shared" si="27"/>
        <v>T</v>
      </c>
      <c r="AZ49" s="208" t="str">
        <f t="shared" si="27"/>
        <v>T</v>
      </c>
      <c r="BA49" s="208" t="str">
        <f t="shared" si="27"/>
        <v>T</v>
      </c>
      <c r="BB49" s="208" t="str">
        <f t="shared" si="27"/>
        <v>T</v>
      </c>
      <c r="BC49" s="208" t="str">
        <f t="shared" si="27"/>
        <v>T</v>
      </c>
      <c r="BD49" s="208" t="str">
        <f t="shared" si="27"/>
        <v>T</v>
      </c>
      <c r="BE49" s="209" t="str">
        <f t="shared" si="27"/>
        <v>T</v>
      </c>
      <c r="BF49" s="208" t="str">
        <f t="shared" si="27"/>
        <v>T</v>
      </c>
      <c r="BG49" s="208" t="str">
        <f t="shared" si="27"/>
        <v>T</v>
      </c>
      <c r="BH49" s="208" t="str">
        <f t="shared" si="27"/>
        <v>T</v>
      </c>
      <c r="BI49" s="208" t="str">
        <f t="shared" si="27"/>
        <v>T</v>
      </c>
      <c r="BJ49" s="208" t="str">
        <f t="shared" si="27"/>
        <v>T</v>
      </c>
      <c r="BK49" s="208" t="str">
        <f t="shared" si="27"/>
        <v>T</v>
      </c>
      <c r="BL49" s="208" t="str">
        <f t="shared" si="27"/>
        <v>T</v>
      </c>
      <c r="BM49" s="208" t="str">
        <f t="shared" si="27"/>
        <v>T</v>
      </c>
      <c r="BN49" s="208" t="str">
        <f t="shared" si="27"/>
        <v>T</v>
      </c>
      <c r="BO49" s="209" t="str">
        <f t="shared" si="27"/>
        <v>T</v>
      </c>
      <c r="BP49" s="208" t="str">
        <f t="shared" si="27"/>
        <v>T</v>
      </c>
      <c r="BQ49" s="208" t="str">
        <f t="shared" si="27"/>
        <v>T</v>
      </c>
      <c r="BR49" s="208" t="str">
        <f t="shared" si="27"/>
        <v>T</v>
      </c>
      <c r="BS49" s="208" t="str">
        <f t="shared" ref="BS49:DC53" si="28">IF(AND(BS$3&gt;=$E49,BS$3&lt;=$F49),"T","F")</f>
        <v>T</v>
      </c>
      <c r="BT49" s="208" t="str">
        <f t="shared" si="28"/>
        <v>T</v>
      </c>
      <c r="BU49" s="208" t="str">
        <f t="shared" si="28"/>
        <v>T</v>
      </c>
      <c r="BV49" s="208" t="str">
        <f t="shared" si="28"/>
        <v>T</v>
      </c>
      <c r="BW49" s="208" t="str">
        <f t="shared" si="28"/>
        <v>T</v>
      </c>
      <c r="BX49" s="208" t="str">
        <f t="shared" si="28"/>
        <v>T</v>
      </c>
      <c r="BY49" s="209" t="str">
        <f t="shared" si="28"/>
        <v>T</v>
      </c>
      <c r="BZ49" s="208" t="str">
        <f t="shared" si="28"/>
        <v>T</v>
      </c>
      <c r="CA49" s="208" t="str">
        <f t="shared" si="28"/>
        <v>T</v>
      </c>
      <c r="CB49" s="208" t="str">
        <f t="shared" si="28"/>
        <v>T</v>
      </c>
      <c r="CC49" s="208" t="str">
        <f t="shared" si="28"/>
        <v>T</v>
      </c>
      <c r="CD49" s="208" t="str">
        <f t="shared" si="28"/>
        <v>T</v>
      </c>
      <c r="CE49" s="208" t="str">
        <f t="shared" si="28"/>
        <v>F</v>
      </c>
      <c r="CF49" s="208" t="str">
        <f t="shared" si="28"/>
        <v>F</v>
      </c>
      <c r="CG49" s="208" t="str">
        <f t="shared" si="28"/>
        <v>F</v>
      </c>
      <c r="CH49" s="208" t="str">
        <f t="shared" si="28"/>
        <v>F</v>
      </c>
      <c r="CI49" s="209" t="str">
        <f t="shared" si="28"/>
        <v>F</v>
      </c>
      <c r="CJ49" s="208" t="str">
        <f t="shared" si="28"/>
        <v>F</v>
      </c>
      <c r="CK49" s="208" t="str">
        <f t="shared" si="28"/>
        <v>F</v>
      </c>
      <c r="CL49" s="208" t="str">
        <f t="shared" si="28"/>
        <v>F</v>
      </c>
      <c r="CM49" s="208" t="str">
        <f t="shared" si="28"/>
        <v>F</v>
      </c>
      <c r="CN49" s="208" t="str">
        <f t="shared" si="28"/>
        <v>F</v>
      </c>
      <c r="CO49" s="208" t="str">
        <f t="shared" si="28"/>
        <v>F</v>
      </c>
      <c r="CP49" s="208" t="str">
        <f t="shared" si="28"/>
        <v>F</v>
      </c>
      <c r="CQ49" s="208" t="str">
        <f t="shared" si="28"/>
        <v>F</v>
      </c>
      <c r="CR49" s="208" t="str">
        <f t="shared" si="28"/>
        <v>F</v>
      </c>
      <c r="CS49" s="209" t="str">
        <f t="shared" si="28"/>
        <v>F</v>
      </c>
      <c r="CT49" s="208" t="str">
        <f t="shared" si="28"/>
        <v>F</v>
      </c>
      <c r="CU49" s="208" t="str">
        <f t="shared" si="28"/>
        <v>F</v>
      </c>
      <c r="CV49" s="208" t="str">
        <f t="shared" si="28"/>
        <v>F</v>
      </c>
      <c r="CW49" s="208" t="str">
        <f t="shared" si="28"/>
        <v>F</v>
      </c>
      <c r="CX49" s="208" t="str">
        <f t="shared" si="28"/>
        <v>F</v>
      </c>
      <c r="CY49" s="208" t="str">
        <f t="shared" si="28"/>
        <v>F</v>
      </c>
      <c r="CZ49" s="208" t="str">
        <f t="shared" si="28"/>
        <v>F</v>
      </c>
      <c r="DA49" s="208" t="str">
        <f t="shared" si="28"/>
        <v>F</v>
      </c>
      <c r="DB49" s="208" t="str">
        <f t="shared" si="28"/>
        <v>F</v>
      </c>
      <c r="DC49" s="210" t="str">
        <f t="shared" si="28"/>
        <v>F</v>
      </c>
    </row>
    <row r="50" spans="2:111" x14ac:dyDescent="0.2">
      <c r="B50" s="205"/>
      <c r="C50" s="880"/>
      <c r="D50" s="206"/>
      <c r="E50" s="247"/>
      <c r="F50" s="207"/>
      <c r="G50" s="220"/>
      <c r="H50" s="221"/>
      <c r="I50" s="221"/>
      <c r="J50" s="221"/>
      <c r="K50" s="221"/>
      <c r="L50" s="221"/>
      <c r="M50" s="221"/>
      <c r="N50" s="221"/>
      <c r="O50" s="221"/>
      <c r="P50" s="221"/>
      <c r="Q50" s="222"/>
      <c r="R50" s="221"/>
      <c r="S50" s="221"/>
      <c r="T50" s="221"/>
      <c r="U50" s="221"/>
      <c r="V50" s="221"/>
      <c r="W50" s="221"/>
      <c r="X50" s="221"/>
      <c r="Y50" s="221"/>
      <c r="Z50" s="221"/>
      <c r="AA50" s="222"/>
      <c r="AB50" s="221"/>
      <c r="AC50" s="221"/>
      <c r="AD50" s="221"/>
      <c r="AE50" s="221"/>
      <c r="AF50" s="221"/>
      <c r="AG50" s="221"/>
      <c r="AH50" s="221"/>
      <c r="AI50" s="221"/>
      <c r="AJ50" s="221"/>
      <c r="AK50" s="222"/>
      <c r="AL50" s="221"/>
      <c r="AM50" s="221"/>
      <c r="AN50" s="221"/>
      <c r="AO50" s="221"/>
      <c r="AP50" s="221"/>
      <c r="AQ50" s="221"/>
      <c r="AR50" s="221"/>
      <c r="AS50" s="221"/>
      <c r="AT50" s="221"/>
      <c r="AU50" s="222"/>
      <c r="AV50" s="221"/>
      <c r="AW50" s="221"/>
      <c r="AX50" s="221"/>
      <c r="AY50" s="221"/>
      <c r="AZ50" s="221"/>
      <c r="BA50" s="221"/>
      <c r="BB50" s="221"/>
      <c r="BC50" s="221"/>
      <c r="BD50" s="221"/>
      <c r="BE50" s="222"/>
      <c r="BF50" s="221"/>
      <c r="BG50" s="221"/>
      <c r="BH50" s="221"/>
      <c r="BI50" s="221"/>
      <c r="BJ50" s="221"/>
      <c r="BK50" s="221"/>
      <c r="BL50" s="221"/>
      <c r="BM50" s="221"/>
      <c r="BN50" s="221"/>
      <c r="BO50" s="222"/>
      <c r="BP50" s="221"/>
      <c r="BQ50" s="221"/>
      <c r="BR50" s="221"/>
      <c r="BS50" s="221"/>
      <c r="BT50" s="221"/>
      <c r="BU50" s="221"/>
      <c r="BV50" s="221"/>
      <c r="BW50" s="221"/>
      <c r="BX50" s="221"/>
      <c r="BY50" s="222"/>
      <c r="BZ50" s="221"/>
      <c r="CA50" s="221"/>
      <c r="CB50" s="221"/>
      <c r="CC50" s="221"/>
      <c r="CD50" s="221"/>
      <c r="CE50" s="221"/>
      <c r="CF50" s="221"/>
      <c r="CG50" s="221"/>
      <c r="CH50" s="221"/>
      <c r="CI50" s="222"/>
      <c r="CJ50" s="221"/>
      <c r="CK50" s="221"/>
      <c r="CL50" s="221"/>
      <c r="CM50" s="221"/>
      <c r="CN50" s="221"/>
      <c r="CO50" s="221"/>
      <c r="CP50" s="221"/>
      <c r="CQ50" s="221"/>
      <c r="CR50" s="221"/>
      <c r="CS50" s="222"/>
      <c r="CT50" s="221"/>
      <c r="CU50" s="221"/>
      <c r="CV50" s="221"/>
      <c r="CW50" s="221"/>
      <c r="CX50" s="221"/>
      <c r="CY50" s="221"/>
      <c r="CZ50" s="221"/>
      <c r="DA50" s="221"/>
      <c r="DB50" s="221"/>
      <c r="DC50" s="223"/>
    </row>
    <row r="51" spans="2:111" x14ac:dyDescent="0.2">
      <c r="B51" s="205"/>
      <c r="C51" s="880"/>
      <c r="D51" s="206" t="str">
        <f>'Technologies Matrix'!B41</f>
        <v>Stormwater BMPs</v>
      </c>
      <c r="E51" s="247">
        <f>'Technologies Matrix'!S41</f>
        <v>25</v>
      </c>
      <c r="F51" s="207">
        <f>'Technologies Matrix'!T41</f>
        <v>75</v>
      </c>
      <c r="G51" s="209" t="str">
        <f t="shared" ref="G51:BR51" si="29">IF(AND(G$3&gt;=$E51,G$3&lt;=$F51),"T","F")</f>
        <v>F</v>
      </c>
      <c r="H51" s="208" t="str">
        <f t="shared" si="29"/>
        <v>F</v>
      </c>
      <c r="I51" s="208" t="str">
        <f t="shared" si="29"/>
        <v>F</v>
      </c>
      <c r="J51" s="208" t="str">
        <f t="shared" si="29"/>
        <v>F</v>
      </c>
      <c r="K51" s="208" t="str">
        <f t="shared" si="29"/>
        <v>F</v>
      </c>
      <c r="L51" s="208" t="str">
        <f t="shared" si="29"/>
        <v>F</v>
      </c>
      <c r="M51" s="208" t="str">
        <f t="shared" si="29"/>
        <v>F</v>
      </c>
      <c r="N51" s="208" t="str">
        <f t="shared" si="29"/>
        <v>F</v>
      </c>
      <c r="O51" s="208" t="str">
        <f t="shared" si="29"/>
        <v>F</v>
      </c>
      <c r="P51" s="208" t="str">
        <f t="shared" si="29"/>
        <v>F</v>
      </c>
      <c r="Q51" s="209" t="str">
        <f t="shared" si="29"/>
        <v>F</v>
      </c>
      <c r="R51" s="208" t="str">
        <f t="shared" si="29"/>
        <v>F</v>
      </c>
      <c r="S51" s="208" t="str">
        <f t="shared" si="29"/>
        <v>F</v>
      </c>
      <c r="T51" s="208" t="str">
        <f t="shared" si="29"/>
        <v>F</v>
      </c>
      <c r="U51" s="208" t="str">
        <f t="shared" si="29"/>
        <v>F</v>
      </c>
      <c r="V51" s="208" t="str">
        <f t="shared" si="29"/>
        <v>F</v>
      </c>
      <c r="W51" s="208" t="str">
        <f t="shared" si="29"/>
        <v>F</v>
      </c>
      <c r="X51" s="208" t="str">
        <f t="shared" si="29"/>
        <v>F</v>
      </c>
      <c r="Y51" s="208" t="str">
        <f t="shared" si="29"/>
        <v>F</v>
      </c>
      <c r="Z51" s="208" t="str">
        <f t="shared" si="29"/>
        <v>F</v>
      </c>
      <c r="AA51" s="209" t="str">
        <f t="shared" si="29"/>
        <v>F</v>
      </c>
      <c r="AB51" s="208" t="str">
        <f t="shared" si="29"/>
        <v>F</v>
      </c>
      <c r="AC51" s="208" t="str">
        <f t="shared" si="29"/>
        <v>F</v>
      </c>
      <c r="AD51" s="208" t="str">
        <f t="shared" si="29"/>
        <v>F</v>
      </c>
      <c r="AE51" s="208" t="str">
        <f t="shared" si="29"/>
        <v>F</v>
      </c>
      <c r="AF51" s="208" t="str">
        <f t="shared" si="29"/>
        <v>T</v>
      </c>
      <c r="AG51" s="208" t="str">
        <f t="shared" si="29"/>
        <v>T</v>
      </c>
      <c r="AH51" s="208" t="str">
        <f t="shared" si="29"/>
        <v>T</v>
      </c>
      <c r="AI51" s="208" t="str">
        <f t="shared" si="29"/>
        <v>T</v>
      </c>
      <c r="AJ51" s="208" t="str">
        <f t="shared" si="29"/>
        <v>T</v>
      </c>
      <c r="AK51" s="209" t="str">
        <f t="shared" si="29"/>
        <v>T</v>
      </c>
      <c r="AL51" s="208" t="str">
        <f t="shared" si="29"/>
        <v>T</v>
      </c>
      <c r="AM51" s="208" t="str">
        <f t="shared" si="29"/>
        <v>T</v>
      </c>
      <c r="AN51" s="208" t="str">
        <f t="shared" si="29"/>
        <v>T</v>
      </c>
      <c r="AO51" s="208" t="str">
        <f t="shared" si="29"/>
        <v>T</v>
      </c>
      <c r="AP51" s="208" t="str">
        <f t="shared" si="29"/>
        <v>T</v>
      </c>
      <c r="AQ51" s="208" t="str">
        <f t="shared" si="29"/>
        <v>T</v>
      </c>
      <c r="AR51" s="208" t="str">
        <f t="shared" si="29"/>
        <v>T</v>
      </c>
      <c r="AS51" s="208" t="str">
        <f t="shared" si="29"/>
        <v>T</v>
      </c>
      <c r="AT51" s="208" t="str">
        <f t="shared" si="29"/>
        <v>T</v>
      </c>
      <c r="AU51" s="209" t="str">
        <f t="shared" si="29"/>
        <v>T</v>
      </c>
      <c r="AV51" s="208" t="str">
        <f t="shared" si="29"/>
        <v>T</v>
      </c>
      <c r="AW51" s="208" t="str">
        <f t="shared" si="29"/>
        <v>T</v>
      </c>
      <c r="AX51" s="208" t="str">
        <f t="shared" si="29"/>
        <v>T</v>
      </c>
      <c r="AY51" s="208" t="str">
        <f t="shared" si="29"/>
        <v>T</v>
      </c>
      <c r="AZ51" s="208" t="str">
        <f t="shared" si="29"/>
        <v>T</v>
      </c>
      <c r="BA51" s="208" t="str">
        <f t="shared" si="29"/>
        <v>T</v>
      </c>
      <c r="BB51" s="208" t="str">
        <f t="shared" si="29"/>
        <v>T</v>
      </c>
      <c r="BC51" s="208" t="str">
        <f t="shared" si="29"/>
        <v>T</v>
      </c>
      <c r="BD51" s="208" t="str">
        <f t="shared" si="29"/>
        <v>T</v>
      </c>
      <c r="BE51" s="209" t="str">
        <f t="shared" si="29"/>
        <v>T</v>
      </c>
      <c r="BF51" s="208" t="str">
        <f t="shared" si="29"/>
        <v>T</v>
      </c>
      <c r="BG51" s="208" t="str">
        <f t="shared" si="29"/>
        <v>T</v>
      </c>
      <c r="BH51" s="208" t="str">
        <f t="shared" si="29"/>
        <v>T</v>
      </c>
      <c r="BI51" s="208" t="str">
        <f t="shared" si="29"/>
        <v>T</v>
      </c>
      <c r="BJ51" s="208" t="str">
        <f t="shared" si="29"/>
        <v>T</v>
      </c>
      <c r="BK51" s="208" t="str">
        <f t="shared" si="29"/>
        <v>T</v>
      </c>
      <c r="BL51" s="208" t="str">
        <f t="shared" si="29"/>
        <v>T</v>
      </c>
      <c r="BM51" s="208" t="str">
        <f t="shared" si="29"/>
        <v>T</v>
      </c>
      <c r="BN51" s="208" t="str">
        <f t="shared" si="29"/>
        <v>T</v>
      </c>
      <c r="BO51" s="209" t="str">
        <f t="shared" si="29"/>
        <v>T</v>
      </c>
      <c r="BP51" s="208" t="str">
        <f t="shared" si="29"/>
        <v>T</v>
      </c>
      <c r="BQ51" s="208" t="str">
        <f t="shared" si="29"/>
        <v>T</v>
      </c>
      <c r="BR51" s="208" t="str">
        <f t="shared" si="29"/>
        <v>T</v>
      </c>
      <c r="BS51" s="208" t="str">
        <f t="shared" si="28"/>
        <v>T</v>
      </c>
      <c r="BT51" s="208" t="str">
        <f t="shared" si="28"/>
        <v>T</v>
      </c>
      <c r="BU51" s="208" t="str">
        <f t="shared" si="28"/>
        <v>T</v>
      </c>
      <c r="BV51" s="208" t="str">
        <f t="shared" si="28"/>
        <v>T</v>
      </c>
      <c r="BW51" s="208" t="str">
        <f t="shared" si="28"/>
        <v>T</v>
      </c>
      <c r="BX51" s="208" t="str">
        <f t="shared" si="28"/>
        <v>T</v>
      </c>
      <c r="BY51" s="209" t="str">
        <f t="shared" si="28"/>
        <v>T</v>
      </c>
      <c r="BZ51" s="208" t="str">
        <f t="shared" si="28"/>
        <v>T</v>
      </c>
      <c r="CA51" s="208" t="str">
        <f t="shared" si="28"/>
        <v>T</v>
      </c>
      <c r="CB51" s="208" t="str">
        <f t="shared" si="28"/>
        <v>T</v>
      </c>
      <c r="CC51" s="208" t="str">
        <f t="shared" si="28"/>
        <v>T</v>
      </c>
      <c r="CD51" s="208" t="str">
        <f t="shared" si="28"/>
        <v>T</v>
      </c>
      <c r="CE51" s="208" t="str">
        <f t="shared" si="28"/>
        <v>F</v>
      </c>
      <c r="CF51" s="208" t="str">
        <f t="shared" si="28"/>
        <v>F</v>
      </c>
      <c r="CG51" s="208" t="str">
        <f t="shared" si="28"/>
        <v>F</v>
      </c>
      <c r="CH51" s="208" t="str">
        <f t="shared" si="28"/>
        <v>F</v>
      </c>
      <c r="CI51" s="209" t="str">
        <f t="shared" si="28"/>
        <v>F</v>
      </c>
      <c r="CJ51" s="208" t="str">
        <f t="shared" si="28"/>
        <v>F</v>
      </c>
      <c r="CK51" s="208" t="str">
        <f t="shared" si="28"/>
        <v>F</v>
      </c>
      <c r="CL51" s="208" t="str">
        <f t="shared" si="28"/>
        <v>F</v>
      </c>
      <c r="CM51" s="208" t="str">
        <f t="shared" si="28"/>
        <v>F</v>
      </c>
      <c r="CN51" s="208" t="str">
        <f t="shared" si="28"/>
        <v>F</v>
      </c>
      <c r="CO51" s="208" t="str">
        <f t="shared" si="28"/>
        <v>F</v>
      </c>
      <c r="CP51" s="208" t="str">
        <f t="shared" si="28"/>
        <v>F</v>
      </c>
      <c r="CQ51" s="208" t="str">
        <f t="shared" si="28"/>
        <v>F</v>
      </c>
      <c r="CR51" s="208" t="str">
        <f t="shared" si="28"/>
        <v>F</v>
      </c>
      <c r="CS51" s="209" t="str">
        <f t="shared" si="28"/>
        <v>F</v>
      </c>
      <c r="CT51" s="208" t="str">
        <f t="shared" si="28"/>
        <v>F</v>
      </c>
      <c r="CU51" s="208" t="str">
        <f t="shared" si="28"/>
        <v>F</v>
      </c>
      <c r="CV51" s="208" t="str">
        <f t="shared" si="28"/>
        <v>F</v>
      </c>
      <c r="CW51" s="208" t="str">
        <f t="shared" si="28"/>
        <v>F</v>
      </c>
      <c r="CX51" s="208" t="str">
        <f t="shared" si="28"/>
        <v>F</v>
      </c>
      <c r="CY51" s="208" t="str">
        <f t="shared" si="28"/>
        <v>F</v>
      </c>
      <c r="CZ51" s="208" t="str">
        <f t="shared" si="28"/>
        <v>F</v>
      </c>
      <c r="DA51" s="208" t="str">
        <f t="shared" si="28"/>
        <v>F</v>
      </c>
      <c r="DB51" s="208" t="str">
        <f t="shared" si="28"/>
        <v>F</v>
      </c>
      <c r="DC51" s="210" t="str">
        <f t="shared" si="28"/>
        <v>F</v>
      </c>
    </row>
    <row r="52" spans="2:111" x14ac:dyDescent="0.2">
      <c r="B52" s="205"/>
      <c r="C52" s="880"/>
      <c r="D52" s="206"/>
      <c r="E52" s="247"/>
      <c r="F52" s="207"/>
      <c r="G52" s="220"/>
      <c r="H52" s="221"/>
      <c r="I52" s="221"/>
      <c r="J52" s="221"/>
      <c r="K52" s="221"/>
      <c r="L52" s="221"/>
      <c r="M52" s="221"/>
      <c r="N52" s="221"/>
      <c r="O52" s="221"/>
      <c r="P52" s="221"/>
      <c r="Q52" s="222"/>
      <c r="R52" s="221"/>
      <c r="S52" s="221"/>
      <c r="T52" s="221"/>
      <c r="U52" s="221"/>
      <c r="V52" s="221"/>
      <c r="W52" s="221"/>
      <c r="X52" s="221"/>
      <c r="Y52" s="221"/>
      <c r="Z52" s="221"/>
      <c r="AA52" s="222"/>
      <c r="AB52" s="221"/>
      <c r="AC52" s="221"/>
      <c r="AD52" s="221"/>
      <c r="AE52" s="221"/>
      <c r="AF52" s="221"/>
      <c r="AG52" s="221"/>
      <c r="AH52" s="221"/>
      <c r="AI52" s="221"/>
      <c r="AJ52" s="221"/>
      <c r="AK52" s="222"/>
      <c r="AL52" s="221"/>
      <c r="AM52" s="221"/>
      <c r="AN52" s="221"/>
      <c r="AO52" s="221"/>
      <c r="AP52" s="221"/>
      <c r="AQ52" s="221"/>
      <c r="AR52" s="221"/>
      <c r="AS52" s="221"/>
      <c r="AT52" s="221"/>
      <c r="AU52" s="222"/>
      <c r="AV52" s="221"/>
      <c r="AW52" s="221"/>
      <c r="AX52" s="221"/>
      <c r="AY52" s="221"/>
      <c r="AZ52" s="221"/>
      <c r="BA52" s="221"/>
      <c r="BB52" s="221"/>
      <c r="BC52" s="221"/>
      <c r="BD52" s="221"/>
      <c r="BE52" s="222"/>
      <c r="BF52" s="221"/>
      <c r="BG52" s="221"/>
      <c r="BH52" s="221"/>
      <c r="BI52" s="221"/>
      <c r="BJ52" s="221"/>
      <c r="BK52" s="221"/>
      <c r="BL52" s="221"/>
      <c r="BM52" s="221"/>
      <c r="BN52" s="221"/>
      <c r="BO52" s="222"/>
      <c r="BP52" s="221"/>
      <c r="BQ52" s="221"/>
      <c r="BR52" s="221"/>
      <c r="BS52" s="221"/>
      <c r="BT52" s="221"/>
      <c r="BU52" s="221"/>
      <c r="BV52" s="221"/>
      <c r="BW52" s="221"/>
      <c r="BX52" s="221"/>
      <c r="BY52" s="222"/>
      <c r="BZ52" s="221"/>
      <c r="CA52" s="221"/>
      <c r="CB52" s="221"/>
      <c r="CC52" s="221"/>
      <c r="CD52" s="221"/>
      <c r="CE52" s="221"/>
      <c r="CF52" s="221"/>
      <c r="CG52" s="221"/>
      <c r="CH52" s="221"/>
      <c r="CI52" s="222"/>
      <c r="CJ52" s="221"/>
      <c r="CK52" s="221"/>
      <c r="CL52" s="221"/>
      <c r="CM52" s="221"/>
      <c r="CN52" s="221"/>
      <c r="CO52" s="221"/>
      <c r="CP52" s="221"/>
      <c r="CQ52" s="221"/>
      <c r="CR52" s="221"/>
      <c r="CS52" s="222"/>
      <c r="CT52" s="221"/>
      <c r="CU52" s="221"/>
      <c r="CV52" s="221"/>
      <c r="CW52" s="221"/>
      <c r="CX52" s="221"/>
      <c r="CY52" s="221"/>
      <c r="CZ52" s="221"/>
      <c r="DA52" s="221"/>
      <c r="DB52" s="221"/>
      <c r="DC52" s="223"/>
    </row>
    <row r="53" spans="2:111" x14ac:dyDescent="0.2">
      <c r="B53" s="205"/>
      <c r="C53" s="880"/>
      <c r="D53" s="206" t="str">
        <f>'Technologies Matrix'!B42</f>
        <v>Remediation of Existing Development</v>
      </c>
      <c r="E53" s="247">
        <f>'Technologies Matrix'!S42</f>
        <v>42.095238095238095</v>
      </c>
      <c r="F53" s="207">
        <f>'Technologies Matrix'!T42</f>
        <v>84.761904761904773</v>
      </c>
      <c r="G53" s="209" t="str">
        <f t="shared" ref="G53:BR53" si="30">IF(AND(G$3&gt;=$E53,G$3&lt;=$F53),"T","F")</f>
        <v>F</v>
      </c>
      <c r="H53" s="208" t="str">
        <f t="shared" si="30"/>
        <v>F</v>
      </c>
      <c r="I53" s="208" t="str">
        <f t="shared" si="30"/>
        <v>F</v>
      </c>
      <c r="J53" s="208" t="str">
        <f t="shared" si="30"/>
        <v>F</v>
      </c>
      <c r="K53" s="208" t="str">
        <f t="shared" si="30"/>
        <v>F</v>
      </c>
      <c r="L53" s="208" t="str">
        <f t="shared" si="30"/>
        <v>F</v>
      </c>
      <c r="M53" s="208" t="str">
        <f t="shared" si="30"/>
        <v>F</v>
      </c>
      <c r="N53" s="208" t="str">
        <f t="shared" si="30"/>
        <v>F</v>
      </c>
      <c r="O53" s="208" t="str">
        <f t="shared" si="30"/>
        <v>F</v>
      </c>
      <c r="P53" s="208" t="str">
        <f t="shared" si="30"/>
        <v>F</v>
      </c>
      <c r="Q53" s="209" t="str">
        <f t="shared" si="30"/>
        <v>F</v>
      </c>
      <c r="R53" s="208" t="str">
        <f t="shared" si="30"/>
        <v>F</v>
      </c>
      <c r="S53" s="208" t="str">
        <f t="shared" si="30"/>
        <v>F</v>
      </c>
      <c r="T53" s="208" t="str">
        <f t="shared" si="30"/>
        <v>F</v>
      </c>
      <c r="U53" s="208" t="str">
        <f t="shared" si="30"/>
        <v>F</v>
      </c>
      <c r="V53" s="208" t="str">
        <f t="shared" si="30"/>
        <v>F</v>
      </c>
      <c r="W53" s="208" t="str">
        <f t="shared" si="30"/>
        <v>F</v>
      </c>
      <c r="X53" s="208" t="str">
        <f t="shared" si="30"/>
        <v>F</v>
      </c>
      <c r="Y53" s="208" t="str">
        <f t="shared" si="30"/>
        <v>F</v>
      </c>
      <c r="Z53" s="208" t="str">
        <f t="shared" si="30"/>
        <v>F</v>
      </c>
      <c r="AA53" s="209" t="str">
        <f t="shared" si="30"/>
        <v>F</v>
      </c>
      <c r="AB53" s="208" t="str">
        <f t="shared" si="30"/>
        <v>F</v>
      </c>
      <c r="AC53" s="208" t="str">
        <f t="shared" si="30"/>
        <v>F</v>
      </c>
      <c r="AD53" s="208" t="str">
        <f t="shared" si="30"/>
        <v>F</v>
      </c>
      <c r="AE53" s="208" t="str">
        <f t="shared" si="30"/>
        <v>F</v>
      </c>
      <c r="AF53" s="208" t="str">
        <f t="shared" si="30"/>
        <v>F</v>
      </c>
      <c r="AG53" s="208" t="str">
        <f t="shared" si="30"/>
        <v>F</v>
      </c>
      <c r="AH53" s="208" t="str">
        <f t="shared" si="30"/>
        <v>F</v>
      </c>
      <c r="AI53" s="208" t="str">
        <f t="shared" si="30"/>
        <v>F</v>
      </c>
      <c r="AJ53" s="208" t="str">
        <f t="shared" si="30"/>
        <v>F</v>
      </c>
      <c r="AK53" s="209" t="str">
        <f t="shared" si="30"/>
        <v>F</v>
      </c>
      <c r="AL53" s="208" t="str">
        <f t="shared" si="30"/>
        <v>F</v>
      </c>
      <c r="AM53" s="208" t="str">
        <f t="shared" si="30"/>
        <v>F</v>
      </c>
      <c r="AN53" s="208" t="str">
        <f t="shared" si="30"/>
        <v>F</v>
      </c>
      <c r="AO53" s="208" t="str">
        <f t="shared" si="30"/>
        <v>F</v>
      </c>
      <c r="AP53" s="208" t="str">
        <f t="shared" si="30"/>
        <v>F</v>
      </c>
      <c r="AQ53" s="208" t="str">
        <f t="shared" si="30"/>
        <v>F</v>
      </c>
      <c r="AR53" s="208" t="str">
        <f t="shared" si="30"/>
        <v>F</v>
      </c>
      <c r="AS53" s="208" t="str">
        <f t="shared" si="30"/>
        <v>F</v>
      </c>
      <c r="AT53" s="208" t="str">
        <f t="shared" si="30"/>
        <v>F</v>
      </c>
      <c r="AU53" s="209" t="str">
        <f t="shared" si="30"/>
        <v>F</v>
      </c>
      <c r="AV53" s="208" t="str">
        <f t="shared" si="30"/>
        <v>F</v>
      </c>
      <c r="AW53" s="208" t="str">
        <f t="shared" si="30"/>
        <v>F</v>
      </c>
      <c r="AX53" s="208" t="str">
        <f t="shared" si="30"/>
        <v>T</v>
      </c>
      <c r="AY53" s="208" t="str">
        <f t="shared" si="30"/>
        <v>T</v>
      </c>
      <c r="AZ53" s="208" t="str">
        <f t="shared" si="30"/>
        <v>T</v>
      </c>
      <c r="BA53" s="208" t="str">
        <f t="shared" si="30"/>
        <v>T</v>
      </c>
      <c r="BB53" s="208" t="str">
        <f t="shared" si="30"/>
        <v>T</v>
      </c>
      <c r="BC53" s="208" t="str">
        <f t="shared" si="30"/>
        <v>T</v>
      </c>
      <c r="BD53" s="208" t="str">
        <f t="shared" si="30"/>
        <v>T</v>
      </c>
      <c r="BE53" s="209" t="str">
        <f t="shared" si="30"/>
        <v>T</v>
      </c>
      <c r="BF53" s="208" t="str">
        <f t="shared" si="30"/>
        <v>T</v>
      </c>
      <c r="BG53" s="208" t="str">
        <f t="shared" si="30"/>
        <v>T</v>
      </c>
      <c r="BH53" s="208" t="str">
        <f t="shared" si="30"/>
        <v>T</v>
      </c>
      <c r="BI53" s="208" t="str">
        <f t="shared" si="30"/>
        <v>T</v>
      </c>
      <c r="BJ53" s="208" t="str">
        <f t="shared" si="30"/>
        <v>T</v>
      </c>
      <c r="BK53" s="208" t="str">
        <f t="shared" si="30"/>
        <v>T</v>
      </c>
      <c r="BL53" s="208" t="str">
        <f t="shared" si="30"/>
        <v>T</v>
      </c>
      <c r="BM53" s="208" t="str">
        <f t="shared" si="30"/>
        <v>T</v>
      </c>
      <c r="BN53" s="208" t="str">
        <f t="shared" si="30"/>
        <v>T</v>
      </c>
      <c r="BO53" s="209" t="str">
        <f t="shared" si="30"/>
        <v>T</v>
      </c>
      <c r="BP53" s="208" t="str">
        <f t="shared" si="30"/>
        <v>T</v>
      </c>
      <c r="BQ53" s="208" t="str">
        <f t="shared" si="30"/>
        <v>T</v>
      </c>
      <c r="BR53" s="208" t="str">
        <f t="shared" si="30"/>
        <v>T</v>
      </c>
      <c r="BS53" s="208" t="str">
        <f t="shared" si="28"/>
        <v>T</v>
      </c>
      <c r="BT53" s="208" t="str">
        <f t="shared" si="28"/>
        <v>T</v>
      </c>
      <c r="BU53" s="208" t="str">
        <f t="shared" si="28"/>
        <v>T</v>
      </c>
      <c r="BV53" s="208" t="str">
        <f t="shared" si="28"/>
        <v>T</v>
      </c>
      <c r="BW53" s="208" t="str">
        <f t="shared" si="28"/>
        <v>T</v>
      </c>
      <c r="BX53" s="208" t="str">
        <f t="shared" si="28"/>
        <v>T</v>
      </c>
      <c r="BY53" s="209" t="str">
        <f t="shared" si="28"/>
        <v>T</v>
      </c>
      <c r="BZ53" s="208" t="str">
        <f t="shared" si="28"/>
        <v>T</v>
      </c>
      <c r="CA53" s="208" t="str">
        <f t="shared" si="28"/>
        <v>T</v>
      </c>
      <c r="CB53" s="208" t="str">
        <f t="shared" si="28"/>
        <v>T</v>
      </c>
      <c r="CC53" s="208" t="str">
        <f t="shared" si="28"/>
        <v>T</v>
      </c>
      <c r="CD53" s="208" t="str">
        <f t="shared" si="28"/>
        <v>T</v>
      </c>
      <c r="CE53" s="208" t="str">
        <f t="shared" si="28"/>
        <v>T</v>
      </c>
      <c r="CF53" s="208" t="str">
        <f t="shared" si="28"/>
        <v>T</v>
      </c>
      <c r="CG53" s="208" t="str">
        <f t="shared" si="28"/>
        <v>T</v>
      </c>
      <c r="CH53" s="208" t="str">
        <f t="shared" si="28"/>
        <v>T</v>
      </c>
      <c r="CI53" s="209" t="str">
        <f t="shared" si="28"/>
        <v>T</v>
      </c>
      <c r="CJ53" s="208" t="str">
        <f t="shared" si="28"/>
        <v>T</v>
      </c>
      <c r="CK53" s="208" t="str">
        <f t="shared" si="28"/>
        <v>T</v>
      </c>
      <c r="CL53" s="208" t="str">
        <f t="shared" si="28"/>
        <v>T</v>
      </c>
      <c r="CM53" s="208" t="str">
        <f t="shared" si="28"/>
        <v>T</v>
      </c>
      <c r="CN53" s="208" t="str">
        <f t="shared" si="28"/>
        <v>F</v>
      </c>
      <c r="CO53" s="208" t="str">
        <f t="shared" si="28"/>
        <v>F</v>
      </c>
      <c r="CP53" s="208" t="str">
        <f t="shared" si="28"/>
        <v>F</v>
      </c>
      <c r="CQ53" s="208" t="str">
        <f t="shared" si="28"/>
        <v>F</v>
      </c>
      <c r="CR53" s="208" t="str">
        <f t="shared" si="28"/>
        <v>F</v>
      </c>
      <c r="CS53" s="209" t="str">
        <f t="shared" si="28"/>
        <v>F</v>
      </c>
      <c r="CT53" s="208" t="str">
        <f t="shared" si="28"/>
        <v>F</v>
      </c>
      <c r="CU53" s="208" t="str">
        <f t="shared" si="28"/>
        <v>F</v>
      </c>
      <c r="CV53" s="208" t="str">
        <f t="shared" si="28"/>
        <v>F</v>
      </c>
      <c r="CW53" s="208" t="str">
        <f t="shared" si="28"/>
        <v>F</v>
      </c>
      <c r="CX53" s="208" t="str">
        <f t="shared" si="28"/>
        <v>F</v>
      </c>
      <c r="CY53" s="208" t="str">
        <f t="shared" si="28"/>
        <v>F</v>
      </c>
      <c r="CZ53" s="208" t="str">
        <f>IF(AND(CZ$3&gt;=$E53,CZ$3&lt;=$F53),"T","F")</f>
        <v>F</v>
      </c>
      <c r="DA53" s="208" t="str">
        <f>IF(AND(DA$3&gt;=$E53,DA$3&lt;=$F53),"T","F")</f>
        <v>F</v>
      </c>
      <c r="DB53" s="208" t="str">
        <f>IF(AND(DB$3&gt;=$E53,DB$3&lt;=$F53),"T","F")</f>
        <v>F</v>
      </c>
      <c r="DC53" s="210" t="str">
        <f>IF(AND(DC$3&gt;=$E53,DC$3&lt;=$F53),"T","F")</f>
        <v>F</v>
      </c>
    </row>
    <row r="54" spans="2:111" x14ac:dyDescent="0.2">
      <c r="B54" s="205"/>
      <c r="C54" s="880"/>
      <c r="D54" s="206"/>
      <c r="E54" s="247"/>
      <c r="F54" s="207"/>
      <c r="G54" s="220"/>
      <c r="H54" s="221"/>
      <c r="I54" s="221"/>
      <c r="J54" s="221"/>
      <c r="K54" s="221"/>
      <c r="L54" s="221"/>
      <c r="M54" s="221"/>
      <c r="N54" s="221"/>
      <c r="O54" s="221"/>
      <c r="P54" s="221"/>
      <c r="Q54" s="222"/>
      <c r="R54" s="221"/>
      <c r="S54" s="221"/>
      <c r="T54" s="221"/>
      <c r="U54" s="221"/>
      <c r="V54" s="221"/>
      <c r="W54" s="221"/>
      <c r="X54" s="221"/>
      <c r="Y54" s="221"/>
      <c r="Z54" s="221"/>
      <c r="AA54" s="222"/>
      <c r="AB54" s="221"/>
      <c r="AC54" s="221"/>
      <c r="AD54" s="221"/>
      <c r="AE54" s="221"/>
      <c r="AF54" s="221"/>
      <c r="AG54" s="221"/>
      <c r="AH54" s="221"/>
      <c r="AI54" s="221"/>
      <c r="AJ54" s="221"/>
      <c r="AK54" s="222"/>
      <c r="AL54" s="221"/>
      <c r="AM54" s="221"/>
      <c r="AN54" s="221"/>
      <c r="AO54" s="221"/>
      <c r="AP54" s="221"/>
      <c r="AQ54" s="221"/>
      <c r="AR54" s="221"/>
      <c r="AS54" s="221"/>
      <c r="AT54" s="221"/>
      <c r="AU54" s="222"/>
      <c r="AV54" s="221"/>
      <c r="AW54" s="221"/>
      <c r="AX54" s="221"/>
      <c r="AY54" s="221"/>
      <c r="AZ54" s="221"/>
      <c r="BA54" s="221"/>
      <c r="BB54" s="221"/>
      <c r="BC54" s="221"/>
      <c r="BD54" s="221"/>
      <c r="BE54" s="222"/>
      <c r="BF54" s="221"/>
      <c r="BG54" s="221"/>
      <c r="BH54" s="221"/>
      <c r="BI54" s="221"/>
      <c r="BJ54" s="221"/>
      <c r="BK54" s="221"/>
      <c r="BL54" s="221"/>
      <c r="BM54" s="221"/>
      <c r="BN54" s="221"/>
      <c r="BO54" s="222"/>
      <c r="BP54" s="221"/>
      <c r="BQ54" s="221"/>
      <c r="BR54" s="221"/>
      <c r="BS54" s="221"/>
      <c r="BT54" s="221"/>
      <c r="BU54" s="221"/>
      <c r="BV54" s="221"/>
      <c r="BW54" s="221"/>
      <c r="BX54" s="221"/>
      <c r="BY54" s="222"/>
      <c r="BZ54" s="221"/>
      <c r="CA54" s="221"/>
      <c r="CB54" s="221"/>
      <c r="CC54" s="221"/>
      <c r="CD54" s="221"/>
      <c r="CE54" s="221"/>
      <c r="CF54" s="221"/>
      <c r="CG54" s="221"/>
      <c r="CH54" s="221"/>
      <c r="CI54" s="222"/>
      <c r="CJ54" s="221"/>
      <c r="CK54" s="221"/>
      <c r="CL54" s="221"/>
      <c r="CM54" s="221"/>
      <c r="CN54" s="221"/>
      <c r="CO54" s="221"/>
      <c r="CP54" s="221"/>
      <c r="CQ54" s="221"/>
      <c r="CR54" s="221"/>
      <c r="CS54" s="222"/>
      <c r="CT54" s="221"/>
      <c r="CU54" s="221"/>
      <c r="CV54" s="221"/>
      <c r="CW54" s="221"/>
      <c r="CX54" s="221"/>
      <c r="CY54" s="221"/>
      <c r="CZ54" s="221"/>
      <c r="DA54" s="221"/>
      <c r="DB54" s="221"/>
      <c r="DC54" s="223"/>
    </row>
    <row r="55" spans="2:111" x14ac:dyDescent="0.2">
      <c r="B55" s="205"/>
      <c r="C55" s="880"/>
      <c r="D55" s="206" t="str">
        <f>'Technologies Matrix'!B43</f>
        <v>Compact and Open Space Development</v>
      </c>
      <c r="E55" s="247">
        <f>'Technologies Matrix'!S43</f>
        <v>100</v>
      </c>
      <c r="F55" s="207">
        <f>'Technologies Matrix'!T43</f>
        <v>100</v>
      </c>
      <c r="G55" s="209" t="str">
        <f t="shared" ref="G55:BR55" si="31">IF(AND(G$3&gt;=$E55,G$3&lt;=$F55),"T","F")</f>
        <v>F</v>
      </c>
      <c r="H55" s="208" t="str">
        <f t="shared" si="31"/>
        <v>F</v>
      </c>
      <c r="I55" s="208" t="str">
        <f t="shared" si="31"/>
        <v>F</v>
      </c>
      <c r="J55" s="208" t="str">
        <f t="shared" si="31"/>
        <v>F</v>
      </c>
      <c r="K55" s="208" t="str">
        <f t="shared" si="31"/>
        <v>F</v>
      </c>
      <c r="L55" s="208" t="str">
        <f t="shared" si="31"/>
        <v>F</v>
      </c>
      <c r="M55" s="208" t="str">
        <f t="shared" si="31"/>
        <v>F</v>
      </c>
      <c r="N55" s="208" t="str">
        <f t="shared" si="31"/>
        <v>F</v>
      </c>
      <c r="O55" s="208" t="str">
        <f t="shared" si="31"/>
        <v>F</v>
      </c>
      <c r="P55" s="208" t="str">
        <f t="shared" si="31"/>
        <v>F</v>
      </c>
      <c r="Q55" s="209" t="str">
        <f t="shared" si="31"/>
        <v>F</v>
      </c>
      <c r="R55" s="208" t="str">
        <f t="shared" si="31"/>
        <v>F</v>
      </c>
      <c r="S55" s="208" t="str">
        <f t="shared" si="31"/>
        <v>F</v>
      </c>
      <c r="T55" s="208" t="str">
        <f t="shared" si="31"/>
        <v>F</v>
      </c>
      <c r="U55" s="208" t="str">
        <f t="shared" si="31"/>
        <v>F</v>
      </c>
      <c r="V55" s="208" t="str">
        <f t="shared" si="31"/>
        <v>F</v>
      </c>
      <c r="W55" s="208" t="str">
        <f t="shared" si="31"/>
        <v>F</v>
      </c>
      <c r="X55" s="208" t="str">
        <f t="shared" si="31"/>
        <v>F</v>
      </c>
      <c r="Y55" s="208" t="str">
        <f t="shared" si="31"/>
        <v>F</v>
      </c>
      <c r="Z55" s="208" t="str">
        <f t="shared" si="31"/>
        <v>F</v>
      </c>
      <c r="AA55" s="209" t="str">
        <f t="shared" si="31"/>
        <v>F</v>
      </c>
      <c r="AB55" s="208" t="str">
        <f t="shared" si="31"/>
        <v>F</v>
      </c>
      <c r="AC55" s="208" t="str">
        <f t="shared" si="31"/>
        <v>F</v>
      </c>
      <c r="AD55" s="208" t="str">
        <f t="shared" si="31"/>
        <v>F</v>
      </c>
      <c r="AE55" s="208" t="str">
        <f t="shared" si="31"/>
        <v>F</v>
      </c>
      <c r="AF55" s="208" t="str">
        <f t="shared" si="31"/>
        <v>F</v>
      </c>
      <c r="AG55" s="208" t="str">
        <f t="shared" si="31"/>
        <v>F</v>
      </c>
      <c r="AH55" s="208" t="str">
        <f t="shared" si="31"/>
        <v>F</v>
      </c>
      <c r="AI55" s="208" t="str">
        <f t="shared" si="31"/>
        <v>F</v>
      </c>
      <c r="AJ55" s="208" t="str">
        <f t="shared" si="31"/>
        <v>F</v>
      </c>
      <c r="AK55" s="209" t="str">
        <f t="shared" si="31"/>
        <v>F</v>
      </c>
      <c r="AL55" s="208" t="str">
        <f t="shared" si="31"/>
        <v>F</v>
      </c>
      <c r="AM55" s="208" t="str">
        <f t="shared" si="31"/>
        <v>F</v>
      </c>
      <c r="AN55" s="208" t="str">
        <f t="shared" si="31"/>
        <v>F</v>
      </c>
      <c r="AO55" s="208" t="str">
        <f t="shared" si="31"/>
        <v>F</v>
      </c>
      <c r="AP55" s="208" t="str">
        <f t="shared" si="31"/>
        <v>F</v>
      </c>
      <c r="AQ55" s="208" t="str">
        <f t="shared" si="31"/>
        <v>F</v>
      </c>
      <c r="AR55" s="208" t="str">
        <f t="shared" si="31"/>
        <v>F</v>
      </c>
      <c r="AS55" s="208" t="str">
        <f t="shared" si="31"/>
        <v>F</v>
      </c>
      <c r="AT55" s="208" t="str">
        <f t="shared" si="31"/>
        <v>F</v>
      </c>
      <c r="AU55" s="209" t="str">
        <f t="shared" si="31"/>
        <v>F</v>
      </c>
      <c r="AV55" s="208" t="str">
        <f t="shared" si="31"/>
        <v>F</v>
      </c>
      <c r="AW55" s="208" t="str">
        <f t="shared" si="31"/>
        <v>F</v>
      </c>
      <c r="AX55" s="208" t="str">
        <f t="shared" si="31"/>
        <v>F</v>
      </c>
      <c r="AY55" s="208" t="str">
        <f t="shared" si="31"/>
        <v>F</v>
      </c>
      <c r="AZ55" s="208" t="str">
        <f t="shared" si="31"/>
        <v>F</v>
      </c>
      <c r="BA55" s="208" t="str">
        <f t="shared" si="31"/>
        <v>F</v>
      </c>
      <c r="BB55" s="208" t="str">
        <f t="shared" si="31"/>
        <v>F</v>
      </c>
      <c r="BC55" s="208" t="str">
        <f t="shared" si="31"/>
        <v>F</v>
      </c>
      <c r="BD55" s="208" t="str">
        <f t="shared" si="31"/>
        <v>F</v>
      </c>
      <c r="BE55" s="209" t="str">
        <f t="shared" si="31"/>
        <v>F</v>
      </c>
      <c r="BF55" s="208" t="str">
        <f t="shared" si="31"/>
        <v>F</v>
      </c>
      <c r="BG55" s="208" t="str">
        <f t="shared" si="31"/>
        <v>F</v>
      </c>
      <c r="BH55" s="208" t="str">
        <f t="shared" si="31"/>
        <v>F</v>
      </c>
      <c r="BI55" s="208" t="str">
        <f t="shared" si="31"/>
        <v>F</v>
      </c>
      <c r="BJ55" s="208" t="str">
        <f t="shared" si="31"/>
        <v>F</v>
      </c>
      <c r="BK55" s="208" t="str">
        <f t="shared" si="31"/>
        <v>F</v>
      </c>
      <c r="BL55" s="208" t="str">
        <f t="shared" si="31"/>
        <v>F</v>
      </c>
      <c r="BM55" s="208" t="str">
        <f t="shared" si="31"/>
        <v>F</v>
      </c>
      <c r="BN55" s="208" t="str">
        <f t="shared" si="31"/>
        <v>F</v>
      </c>
      <c r="BO55" s="209" t="str">
        <f t="shared" si="31"/>
        <v>F</v>
      </c>
      <c r="BP55" s="208" t="str">
        <f t="shared" si="31"/>
        <v>F</v>
      </c>
      <c r="BQ55" s="208" t="str">
        <f t="shared" si="31"/>
        <v>F</v>
      </c>
      <c r="BR55" s="208" t="str">
        <f t="shared" si="31"/>
        <v>F</v>
      </c>
      <c r="BS55" s="208" t="str">
        <f t="shared" ref="BS55:DC55" si="32">IF(AND(BS$3&gt;=$E55,BS$3&lt;=$F55),"T","F")</f>
        <v>F</v>
      </c>
      <c r="BT55" s="208" t="str">
        <f t="shared" si="32"/>
        <v>F</v>
      </c>
      <c r="BU55" s="208" t="str">
        <f t="shared" si="32"/>
        <v>F</v>
      </c>
      <c r="BV55" s="208" t="str">
        <f t="shared" si="32"/>
        <v>F</v>
      </c>
      <c r="BW55" s="208" t="str">
        <f t="shared" si="32"/>
        <v>F</v>
      </c>
      <c r="BX55" s="208" t="str">
        <f t="shared" si="32"/>
        <v>F</v>
      </c>
      <c r="BY55" s="209" t="str">
        <f t="shared" si="32"/>
        <v>F</v>
      </c>
      <c r="BZ55" s="208" t="str">
        <f t="shared" si="32"/>
        <v>F</v>
      </c>
      <c r="CA55" s="208" t="str">
        <f t="shared" si="32"/>
        <v>F</v>
      </c>
      <c r="CB55" s="208" t="str">
        <f t="shared" si="32"/>
        <v>F</v>
      </c>
      <c r="CC55" s="208" t="str">
        <f t="shared" si="32"/>
        <v>F</v>
      </c>
      <c r="CD55" s="208" t="str">
        <f t="shared" si="32"/>
        <v>F</v>
      </c>
      <c r="CE55" s="208" t="str">
        <f t="shared" si="32"/>
        <v>F</v>
      </c>
      <c r="CF55" s="208" t="str">
        <f t="shared" si="32"/>
        <v>F</v>
      </c>
      <c r="CG55" s="208" t="str">
        <f t="shared" si="32"/>
        <v>F</v>
      </c>
      <c r="CH55" s="208" t="str">
        <f t="shared" si="32"/>
        <v>F</v>
      </c>
      <c r="CI55" s="209" t="str">
        <f t="shared" si="32"/>
        <v>F</v>
      </c>
      <c r="CJ55" s="208" t="str">
        <f t="shared" si="32"/>
        <v>F</v>
      </c>
      <c r="CK55" s="208" t="str">
        <f t="shared" si="32"/>
        <v>F</v>
      </c>
      <c r="CL55" s="208" t="str">
        <f t="shared" si="32"/>
        <v>F</v>
      </c>
      <c r="CM55" s="208" t="str">
        <f t="shared" si="32"/>
        <v>F</v>
      </c>
      <c r="CN55" s="208" t="str">
        <f t="shared" si="32"/>
        <v>F</v>
      </c>
      <c r="CO55" s="208" t="str">
        <f t="shared" si="32"/>
        <v>F</v>
      </c>
      <c r="CP55" s="208" t="str">
        <f t="shared" si="32"/>
        <v>F</v>
      </c>
      <c r="CQ55" s="208" t="str">
        <f t="shared" si="32"/>
        <v>F</v>
      </c>
      <c r="CR55" s="208" t="str">
        <f t="shared" si="32"/>
        <v>F</v>
      </c>
      <c r="CS55" s="209" t="str">
        <f t="shared" si="32"/>
        <v>F</v>
      </c>
      <c r="CT55" s="208" t="str">
        <f t="shared" si="32"/>
        <v>F</v>
      </c>
      <c r="CU55" s="208" t="str">
        <f t="shared" si="32"/>
        <v>F</v>
      </c>
      <c r="CV55" s="208" t="str">
        <f t="shared" si="32"/>
        <v>F</v>
      </c>
      <c r="CW55" s="208" t="str">
        <f t="shared" si="32"/>
        <v>F</v>
      </c>
      <c r="CX55" s="208" t="str">
        <f t="shared" si="32"/>
        <v>F</v>
      </c>
      <c r="CY55" s="208" t="str">
        <f t="shared" si="32"/>
        <v>F</v>
      </c>
      <c r="CZ55" s="208" t="str">
        <f t="shared" si="32"/>
        <v>F</v>
      </c>
      <c r="DA55" s="208" t="str">
        <f t="shared" si="32"/>
        <v>F</v>
      </c>
      <c r="DB55" s="208" t="str">
        <f t="shared" si="32"/>
        <v>F</v>
      </c>
      <c r="DC55" s="210" t="str">
        <f t="shared" si="32"/>
        <v>T</v>
      </c>
    </row>
    <row r="56" spans="2:111" x14ac:dyDescent="0.2">
      <c r="B56" s="205"/>
      <c r="C56" s="880"/>
      <c r="D56" s="206"/>
      <c r="E56" s="247"/>
      <c r="F56" s="207"/>
      <c r="G56" s="220"/>
      <c r="H56" s="221"/>
      <c r="I56" s="221"/>
      <c r="J56" s="221"/>
      <c r="K56" s="221"/>
      <c r="L56" s="221"/>
      <c r="M56" s="221"/>
      <c r="N56" s="221"/>
      <c r="O56" s="221"/>
      <c r="P56" s="221"/>
      <c r="Q56" s="222"/>
      <c r="R56" s="221"/>
      <c r="S56" s="221"/>
      <c r="T56" s="221"/>
      <c r="U56" s="221"/>
      <c r="V56" s="221"/>
      <c r="W56" s="221"/>
      <c r="X56" s="221"/>
      <c r="Y56" s="221"/>
      <c r="Z56" s="221"/>
      <c r="AA56" s="222"/>
      <c r="AB56" s="221"/>
      <c r="AC56" s="221"/>
      <c r="AD56" s="221"/>
      <c r="AE56" s="221"/>
      <c r="AF56" s="221"/>
      <c r="AG56" s="221"/>
      <c r="AH56" s="221"/>
      <c r="AI56" s="221"/>
      <c r="AJ56" s="221"/>
      <c r="AK56" s="222"/>
      <c r="AL56" s="221"/>
      <c r="AM56" s="221"/>
      <c r="AN56" s="221"/>
      <c r="AO56" s="221"/>
      <c r="AP56" s="221"/>
      <c r="AQ56" s="221"/>
      <c r="AR56" s="221"/>
      <c r="AS56" s="221"/>
      <c r="AT56" s="221"/>
      <c r="AU56" s="222"/>
      <c r="AV56" s="221"/>
      <c r="AW56" s="221"/>
      <c r="AX56" s="221"/>
      <c r="AY56" s="221"/>
      <c r="AZ56" s="221"/>
      <c r="BA56" s="221"/>
      <c r="BB56" s="221"/>
      <c r="BC56" s="221"/>
      <c r="BD56" s="221"/>
      <c r="BE56" s="222"/>
      <c r="BF56" s="221"/>
      <c r="BG56" s="221"/>
      <c r="BH56" s="221"/>
      <c r="BI56" s="221"/>
      <c r="BJ56" s="221"/>
      <c r="BK56" s="221"/>
      <c r="BL56" s="221"/>
      <c r="BM56" s="221"/>
      <c r="BN56" s="221"/>
      <c r="BO56" s="222"/>
      <c r="BP56" s="221"/>
      <c r="BQ56" s="221"/>
      <c r="BR56" s="221"/>
      <c r="BS56" s="221"/>
      <c r="BT56" s="221"/>
      <c r="BU56" s="221"/>
      <c r="BV56" s="221"/>
      <c r="BW56" s="221"/>
      <c r="BX56" s="221"/>
      <c r="BY56" s="222"/>
      <c r="BZ56" s="221"/>
      <c r="CA56" s="221"/>
      <c r="CB56" s="221"/>
      <c r="CC56" s="221"/>
      <c r="CD56" s="221"/>
      <c r="CE56" s="221"/>
      <c r="CF56" s="221"/>
      <c r="CG56" s="221"/>
      <c r="CH56" s="221"/>
      <c r="CI56" s="222"/>
      <c r="CJ56" s="221"/>
      <c r="CK56" s="221"/>
      <c r="CL56" s="221"/>
      <c r="CM56" s="221"/>
      <c r="CN56" s="221"/>
      <c r="CO56" s="221"/>
      <c r="CP56" s="221"/>
      <c r="CQ56" s="221"/>
      <c r="CR56" s="221"/>
      <c r="CS56" s="222"/>
      <c r="CT56" s="221"/>
      <c r="CU56" s="221"/>
      <c r="CV56" s="221"/>
      <c r="CW56" s="221"/>
      <c r="CX56" s="221"/>
      <c r="CY56" s="221"/>
      <c r="CZ56" s="221"/>
      <c r="DA56" s="221"/>
      <c r="DB56" s="221"/>
      <c r="DC56" s="223"/>
    </row>
    <row r="57" spans="2:111" x14ac:dyDescent="0.2">
      <c r="B57" s="205"/>
      <c r="C57" s="880"/>
      <c r="D57" s="206" t="str">
        <f>'Technologies Matrix'!B44</f>
        <v>Transfer of Development Rights</v>
      </c>
      <c r="E57" s="247">
        <f>'Technologies Matrix'!S44</f>
        <v>100</v>
      </c>
      <c r="F57" s="207">
        <f>'Technologies Matrix'!T44</f>
        <v>100</v>
      </c>
      <c r="G57" s="209" t="str">
        <f t="shared" ref="G57:BR57" si="33">IF(AND(G$3&gt;=$E57,G$3&lt;=$F57),"T","F")</f>
        <v>F</v>
      </c>
      <c r="H57" s="208" t="str">
        <f t="shared" si="33"/>
        <v>F</v>
      </c>
      <c r="I57" s="208" t="str">
        <f t="shared" si="33"/>
        <v>F</v>
      </c>
      <c r="J57" s="208" t="str">
        <f t="shared" si="33"/>
        <v>F</v>
      </c>
      <c r="K57" s="208" t="str">
        <f t="shared" si="33"/>
        <v>F</v>
      </c>
      <c r="L57" s="208" t="str">
        <f t="shared" si="33"/>
        <v>F</v>
      </c>
      <c r="M57" s="208" t="str">
        <f t="shared" si="33"/>
        <v>F</v>
      </c>
      <c r="N57" s="208" t="str">
        <f t="shared" si="33"/>
        <v>F</v>
      </c>
      <c r="O57" s="208" t="str">
        <f t="shared" si="33"/>
        <v>F</v>
      </c>
      <c r="P57" s="208" t="str">
        <f t="shared" si="33"/>
        <v>F</v>
      </c>
      <c r="Q57" s="209" t="str">
        <f t="shared" si="33"/>
        <v>F</v>
      </c>
      <c r="R57" s="208" t="str">
        <f t="shared" si="33"/>
        <v>F</v>
      </c>
      <c r="S57" s="208" t="str">
        <f t="shared" si="33"/>
        <v>F</v>
      </c>
      <c r="T57" s="208" t="str">
        <f t="shared" si="33"/>
        <v>F</v>
      </c>
      <c r="U57" s="208" t="str">
        <f t="shared" si="33"/>
        <v>F</v>
      </c>
      <c r="V57" s="208" t="str">
        <f t="shared" si="33"/>
        <v>F</v>
      </c>
      <c r="W57" s="208" t="str">
        <f t="shared" si="33"/>
        <v>F</v>
      </c>
      <c r="X57" s="208" t="str">
        <f t="shared" si="33"/>
        <v>F</v>
      </c>
      <c r="Y57" s="208" t="str">
        <f t="shared" si="33"/>
        <v>F</v>
      </c>
      <c r="Z57" s="208" t="str">
        <f t="shared" si="33"/>
        <v>F</v>
      </c>
      <c r="AA57" s="209" t="str">
        <f t="shared" si="33"/>
        <v>F</v>
      </c>
      <c r="AB57" s="208" t="str">
        <f t="shared" si="33"/>
        <v>F</v>
      </c>
      <c r="AC57" s="208" t="str">
        <f t="shared" si="33"/>
        <v>F</v>
      </c>
      <c r="AD57" s="208" t="str">
        <f t="shared" si="33"/>
        <v>F</v>
      </c>
      <c r="AE57" s="208" t="str">
        <f t="shared" si="33"/>
        <v>F</v>
      </c>
      <c r="AF57" s="208" t="str">
        <f t="shared" si="33"/>
        <v>F</v>
      </c>
      <c r="AG57" s="208" t="str">
        <f t="shared" si="33"/>
        <v>F</v>
      </c>
      <c r="AH57" s="208" t="str">
        <f t="shared" si="33"/>
        <v>F</v>
      </c>
      <c r="AI57" s="208" t="str">
        <f t="shared" si="33"/>
        <v>F</v>
      </c>
      <c r="AJ57" s="208" t="str">
        <f t="shared" si="33"/>
        <v>F</v>
      </c>
      <c r="AK57" s="209" t="str">
        <f t="shared" si="33"/>
        <v>F</v>
      </c>
      <c r="AL57" s="208" t="str">
        <f t="shared" si="33"/>
        <v>F</v>
      </c>
      <c r="AM57" s="208" t="str">
        <f t="shared" si="33"/>
        <v>F</v>
      </c>
      <c r="AN57" s="208" t="str">
        <f t="shared" si="33"/>
        <v>F</v>
      </c>
      <c r="AO57" s="208" t="str">
        <f t="shared" si="33"/>
        <v>F</v>
      </c>
      <c r="AP57" s="208" t="str">
        <f t="shared" si="33"/>
        <v>F</v>
      </c>
      <c r="AQ57" s="208" t="str">
        <f t="shared" si="33"/>
        <v>F</v>
      </c>
      <c r="AR57" s="208" t="str">
        <f t="shared" si="33"/>
        <v>F</v>
      </c>
      <c r="AS57" s="208" t="str">
        <f t="shared" si="33"/>
        <v>F</v>
      </c>
      <c r="AT57" s="208" t="str">
        <f t="shared" si="33"/>
        <v>F</v>
      </c>
      <c r="AU57" s="209" t="str">
        <f t="shared" si="33"/>
        <v>F</v>
      </c>
      <c r="AV57" s="208" t="str">
        <f t="shared" si="33"/>
        <v>F</v>
      </c>
      <c r="AW57" s="208" t="str">
        <f t="shared" si="33"/>
        <v>F</v>
      </c>
      <c r="AX57" s="208" t="str">
        <f t="shared" si="33"/>
        <v>F</v>
      </c>
      <c r="AY57" s="208" t="str">
        <f t="shared" si="33"/>
        <v>F</v>
      </c>
      <c r="AZ57" s="208" t="str">
        <f t="shared" si="33"/>
        <v>F</v>
      </c>
      <c r="BA57" s="208" t="str">
        <f t="shared" si="33"/>
        <v>F</v>
      </c>
      <c r="BB57" s="208" t="str">
        <f t="shared" si="33"/>
        <v>F</v>
      </c>
      <c r="BC57" s="208" t="str">
        <f t="shared" si="33"/>
        <v>F</v>
      </c>
      <c r="BD57" s="208" t="str">
        <f t="shared" si="33"/>
        <v>F</v>
      </c>
      <c r="BE57" s="209" t="str">
        <f t="shared" si="33"/>
        <v>F</v>
      </c>
      <c r="BF57" s="208" t="str">
        <f t="shared" si="33"/>
        <v>F</v>
      </c>
      <c r="BG57" s="208" t="str">
        <f t="shared" si="33"/>
        <v>F</v>
      </c>
      <c r="BH57" s="208" t="str">
        <f t="shared" si="33"/>
        <v>F</v>
      </c>
      <c r="BI57" s="208" t="str">
        <f t="shared" si="33"/>
        <v>F</v>
      </c>
      <c r="BJ57" s="208" t="str">
        <f t="shared" si="33"/>
        <v>F</v>
      </c>
      <c r="BK57" s="208" t="str">
        <f t="shared" si="33"/>
        <v>F</v>
      </c>
      <c r="BL57" s="208" t="str">
        <f t="shared" si="33"/>
        <v>F</v>
      </c>
      <c r="BM57" s="208" t="str">
        <f t="shared" si="33"/>
        <v>F</v>
      </c>
      <c r="BN57" s="208" t="str">
        <f t="shared" si="33"/>
        <v>F</v>
      </c>
      <c r="BO57" s="209" t="str">
        <f t="shared" si="33"/>
        <v>F</v>
      </c>
      <c r="BP57" s="208" t="str">
        <f t="shared" si="33"/>
        <v>F</v>
      </c>
      <c r="BQ57" s="208" t="str">
        <f t="shared" si="33"/>
        <v>F</v>
      </c>
      <c r="BR57" s="208" t="str">
        <f t="shared" si="33"/>
        <v>F</v>
      </c>
      <c r="BS57" s="208" t="str">
        <f t="shared" ref="BS57:DC57" si="34">IF(AND(BS$3&gt;=$E57,BS$3&lt;=$F57),"T","F")</f>
        <v>F</v>
      </c>
      <c r="BT57" s="208" t="str">
        <f t="shared" si="34"/>
        <v>F</v>
      </c>
      <c r="BU57" s="208" t="str">
        <f t="shared" si="34"/>
        <v>F</v>
      </c>
      <c r="BV57" s="208" t="str">
        <f t="shared" si="34"/>
        <v>F</v>
      </c>
      <c r="BW57" s="208" t="str">
        <f t="shared" si="34"/>
        <v>F</v>
      </c>
      <c r="BX57" s="208" t="str">
        <f t="shared" si="34"/>
        <v>F</v>
      </c>
      <c r="BY57" s="209" t="str">
        <f t="shared" si="34"/>
        <v>F</v>
      </c>
      <c r="BZ57" s="208" t="str">
        <f t="shared" si="34"/>
        <v>F</v>
      </c>
      <c r="CA57" s="208" t="str">
        <f t="shared" si="34"/>
        <v>F</v>
      </c>
      <c r="CB57" s="208" t="str">
        <f t="shared" si="34"/>
        <v>F</v>
      </c>
      <c r="CC57" s="208" t="str">
        <f t="shared" si="34"/>
        <v>F</v>
      </c>
      <c r="CD57" s="208" t="str">
        <f t="shared" si="34"/>
        <v>F</v>
      </c>
      <c r="CE57" s="208" t="str">
        <f t="shared" si="34"/>
        <v>F</v>
      </c>
      <c r="CF57" s="208" t="str">
        <f t="shared" si="34"/>
        <v>F</v>
      </c>
      <c r="CG57" s="208" t="str">
        <f t="shared" si="34"/>
        <v>F</v>
      </c>
      <c r="CH57" s="208" t="str">
        <f t="shared" si="34"/>
        <v>F</v>
      </c>
      <c r="CI57" s="209" t="str">
        <f t="shared" si="34"/>
        <v>F</v>
      </c>
      <c r="CJ57" s="208" t="str">
        <f t="shared" si="34"/>
        <v>F</v>
      </c>
      <c r="CK57" s="208" t="str">
        <f t="shared" si="34"/>
        <v>F</v>
      </c>
      <c r="CL57" s="208" t="str">
        <f t="shared" si="34"/>
        <v>F</v>
      </c>
      <c r="CM57" s="208" t="str">
        <f t="shared" si="34"/>
        <v>F</v>
      </c>
      <c r="CN57" s="208" t="str">
        <f t="shared" si="34"/>
        <v>F</v>
      </c>
      <c r="CO57" s="208" t="str">
        <f t="shared" si="34"/>
        <v>F</v>
      </c>
      <c r="CP57" s="208" t="str">
        <f t="shared" si="34"/>
        <v>F</v>
      </c>
      <c r="CQ57" s="208" t="str">
        <f t="shared" si="34"/>
        <v>F</v>
      </c>
      <c r="CR57" s="208" t="str">
        <f t="shared" si="34"/>
        <v>F</v>
      </c>
      <c r="CS57" s="209" t="str">
        <f t="shared" si="34"/>
        <v>F</v>
      </c>
      <c r="CT57" s="208" t="str">
        <f t="shared" si="34"/>
        <v>F</v>
      </c>
      <c r="CU57" s="208" t="str">
        <f t="shared" si="34"/>
        <v>F</v>
      </c>
      <c r="CV57" s="208" t="str">
        <f t="shared" si="34"/>
        <v>F</v>
      </c>
      <c r="CW57" s="208" t="str">
        <f t="shared" si="34"/>
        <v>F</v>
      </c>
      <c r="CX57" s="208" t="str">
        <f t="shared" si="34"/>
        <v>F</v>
      </c>
      <c r="CY57" s="208" t="str">
        <f t="shared" si="34"/>
        <v>F</v>
      </c>
      <c r="CZ57" s="208" t="str">
        <f t="shared" si="34"/>
        <v>F</v>
      </c>
      <c r="DA57" s="208" t="str">
        <f t="shared" si="34"/>
        <v>F</v>
      </c>
      <c r="DB57" s="208" t="str">
        <f t="shared" si="34"/>
        <v>F</v>
      </c>
      <c r="DC57" s="210" t="str">
        <f t="shared" si="34"/>
        <v>T</v>
      </c>
    </row>
    <row r="58" spans="2:111" s="214" customFormat="1" x14ac:dyDescent="0.2">
      <c r="B58" s="215"/>
      <c r="C58" s="226"/>
      <c r="D58" s="206"/>
      <c r="E58" s="247"/>
      <c r="F58" s="207"/>
      <c r="G58" s="220"/>
      <c r="H58" s="221"/>
      <c r="I58" s="221"/>
      <c r="J58" s="221"/>
      <c r="K58" s="221"/>
      <c r="L58" s="221"/>
      <c r="M58" s="221"/>
      <c r="N58" s="221"/>
      <c r="O58" s="221"/>
      <c r="P58" s="221"/>
      <c r="Q58" s="222"/>
      <c r="R58" s="221"/>
      <c r="S58" s="221"/>
      <c r="T58" s="221"/>
      <c r="U58" s="221"/>
      <c r="V58" s="221"/>
      <c r="W58" s="221"/>
      <c r="X58" s="221"/>
      <c r="Y58" s="221"/>
      <c r="Z58" s="221"/>
      <c r="AA58" s="222"/>
      <c r="AB58" s="221"/>
      <c r="AC58" s="221"/>
      <c r="AD58" s="221"/>
      <c r="AE58" s="221"/>
      <c r="AF58" s="221"/>
      <c r="AG58" s="221"/>
      <c r="AH58" s="221"/>
      <c r="AI58" s="221"/>
      <c r="AJ58" s="221"/>
      <c r="AK58" s="222"/>
      <c r="AL58" s="221"/>
      <c r="AM58" s="221"/>
      <c r="AN58" s="221"/>
      <c r="AO58" s="221"/>
      <c r="AP58" s="221"/>
      <c r="AQ58" s="221"/>
      <c r="AR58" s="221"/>
      <c r="AS58" s="221"/>
      <c r="AT58" s="221"/>
      <c r="AU58" s="222"/>
      <c r="AV58" s="221"/>
      <c r="AW58" s="221"/>
      <c r="AX58" s="221"/>
      <c r="AY58" s="221"/>
      <c r="AZ58" s="221"/>
      <c r="BA58" s="221"/>
      <c r="BB58" s="221"/>
      <c r="BC58" s="221"/>
      <c r="BD58" s="221"/>
      <c r="BE58" s="222"/>
      <c r="BF58" s="221"/>
      <c r="BG58" s="221"/>
      <c r="BH58" s="221"/>
      <c r="BI58" s="221"/>
      <c r="BJ58" s="221"/>
      <c r="BK58" s="221"/>
      <c r="BL58" s="221"/>
      <c r="BM58" s="221"/>
      <c r="BN58" s="221"/>
      <c r="BO58" s="222"/>
      <c r="BP58" s="221"/>
      <c r="BQ58" s="221"/>
      <c r="BR58" s="221"/>
      <c r="BS58" s="221"/>
      <c r="BT58" s="221"/>
      <c r="BU58" s="221"/>
      <c r="BV58" s="221"/>
      <c r="BW58" s="221"/>
      <c r="BX58" s="221"/>
      <c r="BY58" s="222"/>
      <c r="BZ58" s="221"/>
      <c r="CA58" s="221"/>
      <c r="CB58" s="221"/>
      <c r="CC58" s="221"/>
      <c r="CD58" s="221"/>
      <c r="CE58" s="221"/>
      <c r="CF58" s="221"/>
      <c r="CG58" s="221"/>
      <c r="CH58" s="221"/>
      <c r="CI58" s="222"/>
      <c r="CJ58" s="221"/>
      <c r="CK58" s="221"/>
      <c r="CL58" s="221"/>
      <c r="CM58" s="221"/>
      <c r="CN58" s="221"/>
      <c r="CO58" s="221"/>
      <c r="CP58" s="221"/>
      <c r="CQ58" s="221"/>
      <c r="CR58" s="221"/>
      <c r="CS58" s="222"/>
      <c r="CT58" s="221"/>
      <c r="CU58" s="221"/>
      <c r="CV58" s="221"/>
      <c r="CW58" s="221"/>
      <c r="CX58" s="221"/>
      <c r="CY58" s="221"/>
      <c r="CZ58" s="221"/>
      <c r="DA58" s="221"/>
      <c r="DB58" s="221"/>
      <c r="DC58" s="223"/>
      <c r="DD58" s="227"/>
      <c r="DE58" s="227"/>
      <c r="DF58" s="227"/>
      <c r="DG58" s="227"/>
    </row>
    <row r="59" spans="2:111" ht="12.75" customHeight="1" x14ac:dyDescent="0.2">
      <c r="B59" s="205"/>
      <c r="C59" s="881" t="str">
        <f>'Technologies Matrix'!A45</f>
        <v>System Alterations</v>
      </c>
      <c r="D59" s="206" t="str">
        <f>'Technologies Matrix'!B45</f>
        <v>Inlet / Culvert Widening</v>
      </c>
      <c r="E59" s="247">
        <f>'Technologies Matrix'!S45</f>
        <v>8</v>
      </c>
      <c r="F59" s="207">
        <f>'Technologies Matrix'!T45</f>
        <v>15</v>
      </c>
      <c r="G59" s="209" t="str">
        <f t="shared" ref="G59:BR65" si="35">IF(AND(G$3&gt;=$E59,G$3&lt;=$F59),"T","F")</f>
        <v>F</v>
      </c>
      <c r="H59" s="208" t="str">
        <f t="shared" si="35"/>
        <v>F</v>
      </c>
      <c r="I59" s="208" t="str">
        <f t="shared" si="35"/>
        <v>F</v>
      </c>
      <c r="J59" s="208" t="str">
        <f t="shared" si="35"/>
        <v>F</v>
      </c>
      <c r="K59" s="208" t="str">
        <f t="shared" si="35"/>
        <v>F</v>
      </c>
      <c r="L59" s="208" t="str">
        <f t="shared" si="35"/>
        <v>F</v>
      </c>
      <c r="M59" s="208" t="str">
        <f t="shared" si="35"/>
        <v>F</v>
      </c>
      <c r="N59" s="208" t="str">
        <f t="shared" si="35"/>
        <v>F</v>
      </c>
      <c r="O59" s="208" t="str">
        <f t="shared" si="35"/>
        <v>T</v>
      </c>
      <c r="P59" s="208" t="str">
        <f t="shared" si="35"/>
        <v>T</v>
      </c>
      <c r="Q59" s="209" t="str">
        <f t="shared" ref="Q59:Q65" si="36">IF(AND(Q$3&gt;=$E59,Q$3&lt;=$F59),"T","F")</f>
        <v>T</v>
      </c>
      <c r="R59" s="208" t="str">
        <f t="shared" si="35"/>
        <v>T</v>
      </c>
      <c r="S59" s="208" t="str">
        <f t="shared" si="35"/>
        <v>T</v>
      </c>
      <c r="T59" s="208" t="str">
        <f t="shared" si="35"/>
        <v>T</v>
      </c>
      <c r="U59" s="208" t="str">
        <f t="shared" si="35"/>
        <v>T</v>
      </c>
      <c r="V59" s="208" t="str">
        <f t="shared" si="35"/>
        <v>T</v>
      </c>
      <c r="W59" s="208" t="str">
        <f t="shared" si="35"/>
        <v>F</v>
      </c>
      <c r="X59" s="208" t="str">
        <f t="shared" si="35"/>
        <v>F</v>
      </c>
      <c r="Y59" s="208" t="str">
        <f t="shared" si="35"/>
        <v>F</v>
      </c>
      <c r="Z59" s="208" t="str">
        <f t="shared" si="35"/>
        <v>F</v>
      </c>
      <c r="AA59" s="209" t="str">
        <f t="shared" si="35"/>
        <v>F</v>
      </c>
      <c r="AB59" s="208" t="str">
        <f t="shared" si="35"/>
        <v>F</v>
      </c>
      <c r="AC59" s="208" t="str">
        <f t="shared" si="35"/>
        <v>F</v>
      </c>
      <c r="AD59" s="208" t="str">
        <f t="shared" si="35"/>
        <v>F</v>
      </c>
      <c r="AE59" s="208" t="str">
        <f t="shared" si="35"/>
        <v>F</v>
      </c>
      <c r="AF59" s="208" t="str">
        <f t="shared" si="35"/>
        <v>F</v>
      </c>
      <c r="AG59" s="208" t="str">
        <f t="shared" si="35"/>
        <v>F</v>
      </c>
      <c r="AH59" s="208" t="str">
        <f t="shared" si="35"/>
        <v>F</v>
      </c>
      <c r="AI59" s="208" t="str">
        <f t="shared" si="35"/>
        <v>F</v>
      </c>
      <c r="AJ59" s="208" t="str">
        <f t="shared" si="35"/>
        <v>F</v>
      </c>
      <c r="AK59" s="209" t="str">
        <f t="shared" si="35"/>
        <v>F</v>
      </c>
      <c r="AL59" s="208" t="str">
        <f t="shared" si="35"/>
        <v>F</v>
      </c>
      <c r="AM59" s="208" t="str">
        <f t="shared" si="35"/>
        <v>F</v>
      </c>
      <c r="AN59" s="208" t="str">
        <f t="shared" si="35"/>
        <v>F</v>
      </c>
      <c r="AO59" s="208" t="str">
        <f t="shared" si="35"/>
        <v>F</v>
      </c>
      <c r="AP59" s="208" t="str">
        <f t="shared" si="35"/>
        <v>F</v>
      </c>
      <c r="AQ59" s="208" t="str">
        <f t="shared" si="35"/>
        <v>F</v>
      </c>
      <c r="AR59" s="208" t="str">
        <f t="shared" si="35"/>
        <v>F</v>
      </c>
      <c r="AS59" s="208" t="str">
        <f t="shared" si="35"/>
        <v>F</v>
      </c>
      <c r="AT59" s="208" t="str">
        <f t="shared" si="35"/>
        <v>F</v>
      </c>
      <c r="AU59" s="209" t="str">
        <f t="shared" si="35"/>
        <v>F</v>
      </c>
      <c r="AV59" s="208" t="str">
        <f t="shared" si="35"/>
        <v>F</v>
      </c>
      <c r="AW59" s="208" t="str">
        <f t="shared" si="35"/>
        <v>F</v>
      </c>
      <c r="AX59" s="208" t="str">
        <f t="shared" si="35"/>
        <v>F</v>
      </c>
      <c r="AY59" s="208" t="str">
        <f t="shared" si="35"/>
        <v>F</v>
      </c>
      <c r="AZ59" s="208" t="str">
        <f t="shared" si="35"/>
        <v>F</v>
      </c>
      <c r="BA59" s="208" t="str">
        <f t="shared" si="35"/>
        <v>F</v>
      </c>
      <c r="BB59" s="208" t="str">
        <f t="shared" si="35"/>
        <v>F</v>
      </c>
      <c r="BC59" s="208" t="str">
        <f t="shared" si="35"/>
        <v>F</v>
      </c>
      <c r="BD59" s="208" t="str">
        <f t="shared" si="35"/>
        <v>F</v>
      </c>
      <c r="BE59" s="209" t="str">
        <f t="shared" si="35"/>
        <v>F</v>
      </c>
      <c r="BF59" s="208" t="str">
        <f t="shared" si="35"/>
        <v>F</v>
      </c>
      <c r="BG59" s="208" t="str">
        <f t="shared" si="35"/>
        <v>F</v>
      </c>
      <c r="BH59" s="208" t="str">
        <f t="shared" si="35"/>
        <v>F</v>
      </c>
      <c r="BI59" s="208" t="str">
        <f t="shared" si="35"/>
        <v>F</v>
      </c>
      <c r="BJ59" s="208" t="str">
        <f t="shared" si="35"/>
        <v>F</v>
      </c>
      <c r="BK59" s="208" t="str">
        <f t="shared" si="35"/>
        <v>F</v>
      </c>
      <c r="BL59" s="208" t="str">
        <f t="shared" si="35"/>
        <v>F</v>
      </c>
      <c r="BM59" s="208" t="str">
        <f t="shared" si="35"/>
        <v>F</v>
      </c>
      <c r="BN59" s="208" t="str">
        <f t="shared" si="35"/>
        <v>F</v>
      </c>
      <c r="BO59" s="209" t="str">
        <f t="shared" si="35"/>
        <v>F</v>
      </c>
      <c r="BP59" s="208" t="str">
        <f t="shared" si="35"/>
        <v>F</v>
      </c>
      <c r="BQ59" s="208" t="str">
        <f t="shared" si="35"/>
        <v>F</v>
      </c>
      <c r="BR59" s="208" t="str">
        <f t="shared" si="35"/>
        <v>F</v>
      </c>
      <c r="BS59" s="208" t="str">
        <f t="shared" ref="BS59:DC71" si="37">IF(AND(BS$3&gt;=$E59,BS$3&lt;=$F59),"T","F")</f>
        <v>F</v>
      </c>
      <c r="BT59" s="208" t="str">
        <f t="shared" si="37"/>
        <v>F</v>
      </c>
      <c r="BU59" s="208" t="str">
        <f t="shared" si="37"/>
        <v>F</v>
      </c>
      <c r="BV59" s="208" t="str">
        <f t="shared" si="37"/>
        <v>F</v>
      </c>
      <c r="BW59" s="208" t="str">
        <f t="shared" si="37"/>
        <v>F</v>
      </c>
      <c r="BX59" s="208" t="str">
        <f t="shared" si="37"/>
        <v>F</v>
      </c>
      <c r="BY59" s="209" t="str">
        <f t="shared" si="37"/>
        <v>F</v>
      </c>
      <c r="BZ59" s="208" t="str">
        <f t="shared" si="37"/>
        <v>F</v>
      </c>
      <c r="CA59" s="208" t="str">
        <f t="shared" si="37"/>
        <v>F</v>
      </c>
      <c r="CB59" s="208" t="str">
        <f t="shared" si="37"/>
        <v>F</v>
      </c>
      <c r="CC59" s="208" t="str">
        <f t="shared" si="37"/>
        <v>F</v>
      </c>
      <c r="CD59" s="208" t="str">
        <f t="shared" si="37"/>
        <v>F</v>
      </c>
      <c r="CE59" s="208" t="str">
        <f t="shared" si="37"/>
        <v>F</v>
      </c>
      <c r="CF59" s="208" t="str">
        <f t="shared" si="37"/>
        <v>F</v>
      </c>
      <c r="CG59" s="208" t="str">
        <f t="shared" si="37"/>
        <v>F</v>
      </c>
      <c r="CH59" s="208" t="str">
        <f t="shared" si="37"/>
        <v>F</v>
      </c>
      <c r="CI59" s="209" t="str">
        <f t="shared" si="37"/>
        <v>F</v>
      </c>
      <c r="CJ59" s="208" t="str">
        <f t="shared" si="37"/>
        <v>F</v>
      </c>
      <c r="CK59" s="208" t="str">
        <f t="shared" si="37"/>
        <v>F</v>
      </c>
      <c r="CL59" s="208" t="str">
        <f t="shared" si="37"/>
        <v>F</v>
      </c>
      <c r="CM59" s="208" t="str">
        <f t="shared" si="37"/>
        <v>F</v>
      </c>
      <c r="CN59" s="208" t="str">
        <f t="shared" si="37"/>
        <v>F</v>
      </c>
      <c r="CO59" s="208" t="str">
        <f t="shared" si="37"/>
        <v>F</v>
      </c>
      <c r="CP59" s="208" t="str">
        <f t="shared" si="37"/>
        <v>F</v>
      </c>
      <c r="CQ59" s="208" t="str">
        <f t="shared" si="37"/>
        <v>F</v>
      </c>
      <c r="CR59" s="208" t="str">
        <f t="shared" si="37"/>
        <v>F</v>
      </c>
      <c r="CS59" s="209" t="str">
        <f t="shared" si="37"/>
        <v>F</v>
      </c>
      <c r="CT59" s="208" t="str">
        <f t="shared" si="37"/>
        <v>F</v>
      </c>
      <c r="CU59" s="208" t="str">
        <f t="shared" si="37"/>
        <v>F</v>
      </c>
      <c r="CV59" s="208" t="str">
        <f t="shared" si="37"/>
        <v>F</v>
      </c>
      <c r="CW59" s="208" t="str">
        <f t="shared" si="37"/>
        <v>F</v>
      </c>
      <c r="CX59" s="208" t="str">
        <f t="shared" si="37"/>
        <v>F</v>
      </c>
      <c r="CY59" s="208" t="str">
        <f t="shared" si="37"/>
        <v>F</v>
      </c>
      <c r="CZ59" s="208" t="str">
        <f t="shared" si="37"/>
        <v>F</v>
      </c>
      <c r="DA59" s="208" t="str">
        <f t="shared" si="37"/>
        <v>F</v>
      </c>
      <c r="DB59" s="208" t="str">
        <f t="shared" si="37"/>
        <v>F</v>
      </c>
      <c r="DC59" s="210" t="str">
        <f t="shared" si="37"/>
        <v>F</v>
      </c>
    </row>
    <row r="60" spans="2:111" x14ac:dyDescent="0.2">
      <c r="B60" s="205"/>
      <c r="C60" s="881"/>
      <c r="D60" s="206"/>
      <c r="E60" s="247"/>
      <c r="F60" s="207"/>
      <c r="G60" s="220"/>
      <c r="H60" s="221"/>
      <c r="I60" s="221"/>
      <c r="J60" s="221"/>
      <c r="K60" s="221"/>
      <c r="L60" s="221"/>
      <c r="M60" s="221"/>
      <c r="N60" s="221"/>
      <c r="O60" s="221"/>
      <c r="P60" s="221"/>
      <c r="Q60" s="222"/>
      <c r="R60" s="221"/>
      <c r="S60" s="221"/>
      <c r="T60" s="221"/>
      <c r="U60" s="221"/>
      <c r="V60" s="221"/>
      <c r="W60" s="221"/>
      <c r="X60" s="221"/>
      <c r="Y60" s="221"/>
      <c r="Z60" s="221"/>
      <c r="AA60" s="222"/>
      <c r="AB60" s="221"/>
      <c r="AC60" s="221"/>
      <c r="AD60" s="221"/>
      <c r="AE60" s="221"/>
      <c r="AF60" s="221"/>
      <c r="AG60" s="221"/>
      <c r="AH60" s="221"/>
      <c r="AI60" s="221"/>
      <c r="AJ60" s="221"/>
      <c r="AK60" s="222"/>
      <c r="AL60" s="221"/>
      <c r="AM60" s="221"/>
      <c r="AN60" s="221"/>
      <c r="AO60" s="221"/>
      <c r="AP60" s="221"/>
      <c r="AQ60" s="221"/>
      <c r="AR60" s="221"/>
      <c r="AS60" s="221"/>
      <c r="AT60" s="221"/>
      <c r="AU60" s="222"/>
      <c r="AV60" s="221"/>
      <c r="AW60" s="221"/>
      <c r="AX60" s="221"/>
      <c r="AY60" s="221"/>
      <c r="AZ60" s="221"/>
      <c r="BA60" s="221"/>
      <c r="BB60" s="221"/>
      <c r="BC60" s="221"/>
      <c r="BD60" s="221"/>
      <c r="BE60" s="222"/>
      <c r="BF60" s="221"/>
      <c r="BG60" s="221"/>
      <c r="BH60" s="221"/>
      <c r="BI60" s="221"/>
      <c r="BJ60" s="221"/>
      <c r="BK60" s="221"/>
      <c r="BL60" s="221"/>
      <c r="BM60" s="221"/>
      <c r="BN60" s="221"/>
      <c r="BO60" s="222"/>
      <c r="BP60" s="221"/>
      <c r="BQ60" s="221"/>
      <c r="BR60" s="221"/>
      <c r="BS60" s="221"/>
      <c r="BT60" s="221"/>
      <c r="BU60" s="221"/>
      <c r="BV60" s="221"/>
      <c r="BW60" s="221"/>
      <c r="BX60" s="221"/>
      <c r="BY60" s="222"/>
      <c r="BZ60" s="221"/>
      <c r="CA60" s="221"/>
      <c r="CB60" s="221"/>
      <c r="CC60" s="221"/>
      <c r="CD60" s="221"/>
      <c r="CE60" s="221"/>
      <c r="CF60" s="221"/>
      <c r="CG60" s="221"/>
      <c r="CH60" s="221"/>
      <c r="CI60" s="222"/>
      <c r="CJ60" s="221"/>
      <c r="CK60" s="221"/>
      <c r="CL60" s="221"/>
      <c r="CM60" s="221"/>
      <c r="CN60" s="221"/>
      <c r="CO60" s="221"/>
      <c r="CP60" s="221"/>
      <c r="CQ60" s="221"/>
      <c r="CR60" s="221"/>
      <c r="CS60" s="222"/>
      <c r="CT60" s="221"/>
      <c r="CU60" s="221"/>
      <c r="CV60" s="221"/>
      <c r="CW60" s="221"/>
      <c r="CX60" s="221"/>
      <c r="CY60" s="221"/>
      <c r="CZ60" s="221"/>
      <c r="DA60" s="221"/>
      <c r="DB60" s="221"/>
      <c r="DC60" s="223"/>
    </row>
    <row r="61" spans="2:111" x14ac:dyDescent="0.2">
      <c r="B61" s="205"/>
      <c r="C61" s="881"/>
      <c r="D61" s="206" t="str">
        <f>'Technologies Matrix'!B46</f>
        <v>Coastal Habitat Restoration</v>
      </c>
      <c r="E61" s="247">
        <f>'Technologies Matrix'!S46</f>
        <v>10</v>
      </c>
      <c r="F61" s="207">
        <f>'Technologies Matrix'!T46</f>
        <v>25</v>
      </c>
      <c r="G61" s="209" t="str">
        <f t="shared" si="35"/>
        <v>F</v>
      </c>
      <c r="H61" s="208" t="str">
        <f t="shared" si="35"/>
        <v>F</v>
      </c>
      <c r="I61" s="208" t="str">
        <f t="shared" si="35"/>
        <v>F</v>
      </c>
      <c r="J61" s="208" t="str">
        <f t="shared" si="35"/>
        <v>F</v>
      </c>
      <c r="K61" s="208" t="str">
        <f t="shared" si="35"/>
        <v>F</v>
      </c>
      <c r="L61" s="208" t="str">
        <f t="shared" si="35"/>
        <v>F</v>
      </c>
      <c r="M61" s="208" t="str">
        <f t="shared" si="35"/>
        <v>F</v>
      </c>
      <c r="N61" s="208" t="str">
        <f t="shared" si="35"/>
        <v>F</v>
      </c>
      <c r="O61" s="208" t="str">
        <f t="shared" si="35"/>
        <v>F</v>
      </c>
      <c r="P61" s="208" t="str">
        <f t="shared" si="35"/>
        <v>F</v>
      </c>
      <c r="Q61" s="209" t="str">
        <f t="shared" si="36"/>
        <v>T</v>
      </c>
      <c r="R61" s="208" t="str">
        <f t="shared" si="35"/>
        <v>T</v>
      </c>
      <c r="S61" s="208" t="str">
        <f t="shared" si="35"/>
        <v>T</v>
      </c>
      <c r="T61" s="208" t="str">
        <f t="shared" si="35"/>
        <v>T</v>
      </c>
      <c r="U61" s="208" t="str">
        <f t="shared" si="35"/>
        <v>T</v>
      </c>
      <c r="V61" s="208" t="str">
        <f t="shared" si="35"/>
        <v>T</v>
      </c>
      <c r="W61" s="208" t="str">
        <f t="shared" si="35"/>
        <v>T</v>
      </c>
      <c r="X61" s="208" t="str">
        <f t="shared" si="35"/>
        <v>T</v>
      </c>
      <c r="Y61" s="208" t="str">
        <f t="shared" si="35"/>
        <v>T</v>
      </c>
      <c r="Z61" s="208" t="str">
        <f t="shared" si="35"/>
        <v>T</v>
      </c>
      <c r="AA61" s="209" t="str">
        <f t="shared" si="35"/>
        <v>T</v>
      </c>
      <c r="AB61" s="208" t="str">
        <f t="shared" si="35"/>
        <v>T</v>
      </c>
      <c r="AC61" s="208" t="str">
        <f t="shared" si="35"/>
        <v>T</v>
      </c>
      <c r="AD61" s="208" t="str">
        <f t="shared" si="35"/>
        <v>T</v>
      </c>
      <c r="AE61" s="208" t="str">
        <f t="shared" si="35"/>
        <v>T</v>
      </c>
      <c r="AF61" s="208" t="str">
        <f t="shared" si="35"/>
        <v>T</v>
      </c>
      <c r="AG61" s="208" t="str">
        <f t="shared" si="35"/>
        <v>F</v>
      </c>
      <c r="AH61" s="208" t="str">
        <f t="shared" si="35"/>
        <v>F</v>
      </c>
      <c r="AI61" s="208" t="str">
        <f t="shared" si="35"/>
        <v>F</v>
      </c>
      <c r="AJ61" s="208" t="str">
        <f t="shared" si="35"/>
        <v>F</v>
      </c>
      <c r="AK61" s="209" t="str">
        <f t="shared" si="35"/>
        <v>F</v>
      </c>
      <c r="AL61" s="208" t="str">
        <f t="shared" si="35"/>
        <v>F</v>
      </c>
      <c r="AM61" s="208" t="str">
        <f t="shared" si="35"/>
        <v>F</v>
      </c>
      <c r="AN61" s="208" t="str">
        <f t="shared" si="35"/>
        <v>F</v>
      </c>
      <c r="AO61" s="208" t="str">
        <f t="shared" si="35"/>
        <v>F</v>
      </c>
      <c r="AP61" s="208" t="str">
        <f t="shared" si="35"/>
        <v>F</v>
      </c>
      <c r="AQ61" s="208" t="str">
        <f t="shared" si="35"/>
        <v>F</v>
      </c>
      <c r="AR61" s="208" t="str">
        <f t="shared" si="35"/>
        <v>F</v>
      </c>
      <c r="AS61" s="208" t="str">
        <f t="shared" si="35"/>
        <v>F</v>
      </c>
      <c r="AT61" s="208" t="str">
        <f t="shared" si="35"/>
        <v>F</v>
      </c>
      <c r="AU61" s="209" t="str">
        <f t="shared" si="35"/>
        <v>F</v>
      </c>
      <c r="AV61" s="208" t="str">
        <f t="shared" si="35"/>
        <v>F</v>
      </c>
      <c r="AW61" s="208" t="str">
        <f t="shared" si="35"/>
        <v>F</v>
      </c>
      <c r="AX61" s="208" t="str">
        <f t="shared" si="35"/>
        <v>F</v>
      </c>
      <c r="AY61" s="208" t="str">
        <f t="shared" si="35"/>
        <v>F</v>
      </c>
      <c r="AZ61" s="208" t="str">
        <f t="shared" si="35"/>
        <v>F</v>
      </c>
      <c r="BA61" s="208" t="str">
        <f t="shared" si="35"/>
        <v>F</v>
      </c>
      <c r="BB61" s="208" t="str">
        <f t="shared" si="35"/>
        <v>F</v>
      </c>
      <c r="BC61" s="208" t="str">
        <f t="shared" si="35"/>
        <v>F</v>
      </c>
      <c r="BD61" s="208" t="str">
        <f t="shared" si="35"/>
        <v>F</v>
      </c>
      <c r="BE61" s="209" t="str">
        <f t="shared" si="35"/>
        <v>F</v>
      </c>
      <c r="BF61" s="208" t="str">
        <f t="shared" si="35"/>
        <v>F</v>
      </c>
      <c r="BG61" s="208" t="str">
        <f t="shared" si="35"/>
        <v>F</v>
      </c>
      <c r="BH61" s="208" t="str">
        <f t="shared" si="35"/>
        <v>F</v>
      </c>
      <c r="BI61" s="208" t="str">
        <f t="shared" si="35"/>
        <v>F</v>
      </c>
      <c r="BJ61" s="208" t="str">
        <f t="shared" si="35"/>
        <v>F</v>
      </c>
      <c r="BK61" s="208" t="str">
        <f t="shared" si="35"/>
        <v>F</v>
      </c>
      <c r="BL61" s="208" t="str">
        <f t="shared" si="35"/>
        <v>F</v>
      </c>
      <c r="BM61" s="208" t="str">
        <f t="shared" si="35"/>
        <v>F</v>
      </c>
      <c r="BN61" s="208" t="str">
        <f t="shared" si="35"/>
        <v>F</v>
      </c>
      <c r="BO61" s="209" t="str">
        <f t="shared" si="35"/>
        <v>F</v>
      </c>
      <c r="BP61" s="208" t="str">
        <f t="shared" si="35"/>
        <v>F</v>
      </c>
      <c r="BQ61" s="208" t="str">
        <f t="shared" si="35"/>
        <v>F</v>
      </c>
      <c r="BR61" s="208" t="str">
        <f t="shared" si="35"/>
        <v>F</v>
      </c>
      <c r="BS61" s="208" t="str">
        <f t="shared" si="37"/>
        <v>F</v>
      </c>
      <c r="BT61" s="208" t="str">
        <f t="shared" si="37"/>
        <v>F</v>
      </c>
      <c r="BU61" s="208" t="str">
        <f t="shared" si="37"/>
        <v>F</v>
      </c>
      <c r="BV61" s="208" t="str">
        <f t="shared" si="37"/>
        <v>F</v>
      </c>
      <c r="BW61" s="208" t="str">
        <f t="shared" si="37"/>
        <v>F</v>
      </c>
      <c r="BX61" s="208" t="str">
        <f t="shared" si="37"/>
        <v>F</v>
      </c>
      <c r="BY61" s="209" t="str">
        <f t="shared" si="37"/>
        <v>F</v>
      </c>
      <c r="BZ61" s="208" t="str">
        <f t="shared" si="37"/>
        <v>F</v>
      </c>
      <c r="CA61" s="208" t="str">
        <f t="shared" si="37"/>
        <v>F</v>
      </c>
      <c r="CB61" s="208" t="str">
        <f t="shared" si="37"/>
        <v>F</v>
      </c>
      <c r="CC61" s="208" t="str">
        <f t="shared" si="37"/>
        <v>F</v>
      </c>
      <c r="CD61" s="208" t="str">
        <f t="shared" si="37"/>
        <v>F</v>
      </c>
      <c r="CE61" s="208" t="str">
        <f t="shared" si="37"/>
        <v>F</v>
      </c>
      <c r="CF61" s="208" t="str">
        <f t="shared" si="37"/>
        <v>F</v>
      </c>
      <c r="CG61" s="208" t="str">
        <f t="shared" si="37"/>
        <v>F</v>
      </c>
      <c r="CH61" s="208" t="str">
        <f t="shared" si="37"/>
        <v>F</v>
      </c>
      <c r="CI61" s="209" t="str">
        <f t="shared" si="37"/>
        <v>F</v>
      </c>
      <c r="CJ61" s="208" t="str">
        <f t="shared" si="37"/>
        <v>F</v>
      </c>
      <c r="CK61" s="208" t="str">
        <f t="shared" si="37"/>
        <v>F</v>
      </c>
      <c r="CL61" s="208" t="str">
        <f t="shared" si="37"/>
        <v>F</v>
      </c>
      <c r="CM61" s="208" t="str">
        <f t="shared" si="37"/>
        <v>F</v>
      </c>
      <c r="CN61" s="208" t="str">
        <f t="shared" si="37"/>
        <v>F</v>
      </c>
      <c r="CO61" s="208" t="str">
        <f t="shared" si="37"/>
        <v>F</v>
      </c>
      <c r="CP61" s="208" t="str">
        <f t="shared" si="37"/>
        <v>F</v>
      </c>
      <c r="CQ61" s="208" t="str">
        <f t="shared" si="37"/>
        <v>F</v>
      </c>
      <c r="CR61" s="208" t="str">
        <f t="shared" si="37"/>
        <v>F</v>
      </c>
      <c r="CS61" s="209" t="str">
        <f t="shared" si="37"/>
        <v>F</v>
      </c>
      <c r="CT61" s="208" t="str">
        <f t="shared" si="37"/>
        <v>F</v>
      </c>
      <c r="CU61" s="208" t="str">
        <f t="shared" si="37"/>
        <v>F</v>
      </c>
      <c r="CV61" s="208" t="str">
        <f t="shared" si="37"/>
        <v>F</v>
      </c>
      <c r="CW61" s="208" t="str">
        <f t="shared" si="37"/>
        <v>F</v>
      </c>
      <c r="CX61" s="208" t="str">
        <f t="shared" si="37"/>
        <v>F</v>
      </c>
      <c r="CY61" s="208" t="str">
        <f t="shared" si="37"/>
        <v>F</v>
      </c>
      <c r="CZ61" s="208" t="str">
        <f t="shared" si="37"/>
        <v>F</v>
      </c>
      <c r="DA61" s="208" t="str">
        <f t="shared" si="37"/>
        <v>F</v>
      </c>
      <c r="DB61" s="208" t="str">
        <f t="shared" si="37"/>
        <v>F</v>
      </c>
      <c r="DC61" s="210" t="str">
        <f t="shared" si="37"/>
        <v>F</v>
      </c>
    </row>
    <row r="62" spans="2:111" x14ac:dyDescent="0.2">
      <c r="B62" s="205"/>
      <c r="C62" s="881"/>
      <c r="D62" s="206"/>
      <c r="E62" s="247"/>
      <c r="F62" s="207"/>
      <c r="G62" s="220"/>
      <c r="H62" s="221"/>
      <c r="I62" s="221"/>
      <c r="J62" s="221"/>
      <c r="K62" s="221"/>
      <c r="L62" s="221"/>
      <c r="M62" s="221"/>
      <c r="N62" s="221"/>
      <c r="O62" s="221"/>
      <c r="P62" s="221"/>
      <c r="Q62" s="222"/>
      <c r="R62" s="221"/>
      <c r="S62" s="221"/>
      <c r="T62" s="221"/>
      <c r="U62" s="221"/>
      <c r="V62" s="221"/>
      <c r="W62" s="221"/>
      <c r="X62" s="221"/>
      <c r="Y62" s="221"/>
      <c r="Z62" s="221"/>
      <c r="AA62" s="222"/>
      <c r="AB62" s="221"/>
      <c r="AC62" s="221"/>
      <c r="AD62" s="221"/>
      <c r="AE62" s="221"/>
      <c r="AF62" s="221"/>
      <c r="AG62" s="221"/>
      <c r="AH62" s="221"/>
      <c r="AI62" s="221"/>
      <c r="AJ62" s="221"/>
      <c r="AK62" s="222"/>
      <c r="AL62" s="221"/>
      <c r="AM62" s="221"/>
      <c r="AN62" s="221"/>
      <c r="AO62" s="221"/>
      <c r="AP62" s="221"/>
      <c r="AQ62" s="221"/>
      <c r="AR62" s="221"/>
      <c r="AS62" s="221"/>
      <c r="AT62" s="221"/>
      <c r="AU62" s="222"/>
      <c r="AV62" s="221"/>
      <c r="AW62" s="221"/>
      <c r="AX62" s="221"/>
      <c r="AY62" s="221"/>
      <c r="AZ62" s="221"/>
      <c r="BA62" s="221"/>
      <c r="BB62" s="221"/>
      <c r="BC62" s="221"/>
      <c r="BD62" s="221"/>
      <c r="BE62" s="222"/>
      <c r="BF62" s="221"/>
      <c r="BG62" s="221"/>
      <c r="BH62" s="221"/>
      <c r="BI62" s="221"/>
      <c r="BJ62" s="221"/>
      <c r="BK62" s="221"/>
      <c r="BL62" s="221"/>
      <c r="BM62" s="221"/>
      <c r="BN62" s="221"/>
      <c r="BO62" s="222"/>
      <c r="BP62" s="221"/>
      <c r="BQ62" s="221"/>
      <c r="BR62" s="221"/>
      <c r="BS62" s="221"/>
      <c r="BT62" s="221"/>
      <c r="BU62" s="221"/>
      <c r="BV62" s="221"/>
      <c r="BW62" s="221"/>
      <c r="BX62" s="221"/>
      <c r="BY62" s="222"/>
      <c r="BZ62" s="221"/>
      <c r="CA62" s="221"/>
      <c r="CB62" s="221"/>
      <c r="CC62" s="221"/>
      <c r="CD62" s="221"/>
      <c r="CE62" s="221"/>
      <c r="CF62" s="221"/>
      <c r="CG62" s="221"/>
      <c r="CH62" s="221"/>
      <c r="CI62" s="222"/>
      <c r="CJ62" s="221"/>
      <c r="CK62" s="221"/>
      <c r="CL62" s="221"/>
      <c r="CM62" s="221"/>
      <c r="CN62" s="221"/>
      <c r="CO62" s="221"/>
      <c r="CP62" s="221"/>
      <c r="CQ62" s="221"/>
      <c r="CR62" s="221"/>
      <c r="CS62" s="222"/>
      <c r="CT62" s="221"/>
      <c r="CU62" s="221"/>
      <c r="CV62" s="221"/>
      <c r="CW62" s="221"/>
      <c r="CX62" s="221"/>
      <c r="CY62" s="221"/>
      <c r="CZ62" s="221"/>
      <c r="DA62" s="221"/>
      <c r="DB62" s="221"/>
      <c r="DC62" s="223"/>
    </row>
    <row r="63" spans="2:111" x14ac:dyDescent="0.2">
      <c r="B63" s="205"/>
      <c r="C63" s="881"/>
      <c r="D63" s="206" t="str">
        <f>'Technologies Matrix'!B48</f>
        <v>Floating Constructed Wetlands</v>
      </c>
      <c r="E63" s="247">
        <f>'Technologies Matrix'!S48</f>
        <v>20</v>
      </c>
      <c r="F63" s="207">
        <f>'Technologies Matrix'!T48</f>
        <v>30</v>
      </c>
      <c r="G63" s="209" t="str">
        <f t="shared" si="35"/>
        <v>F</v>
      </c>
      <c r="H63" s="208" t="str">
        <f t="shared" si="35"/>
        <v>F</v>
      </c>
      <c r="I63" s="208" t="str">
        <f t="shared" si="35"/>
        <v>F</v>
      </c>
      <c r="J63" s="208" t="str">
        <f t="shared" si="35"/>
        <v>F</v>
      </c>
      <c r="K63" s="208" t="str">
        <f t="shared" si="35"/>
        <v>F</v>
      </c>
      <c r="L63" s="208" t="str">
        <f t="shared" si="35"/>
        <v>F</v>
      </c>
      <c r="M63" s="208" t="str">
        <f t="shared" si="35"/>
        <v>F</v>
      </c>
      <c r="N63" s="208" t="str">
        <f t="shared" si="35"/>
        <v>F</v>
      </c>
      <c r="O63" s="208" t="str">
        <f t="shared" si="35"/>
        <v>F</v>
      </c>
      <c r="P63" s="208" t="str">
        <f t="shared" si="35"/>
        <v>F</v>
      </c>
      <c r="Q63" s="209" t="str">
        <f t="shared" si="36"/>
        <v>F</v>
      </c>
      <c r="R63" s="208" t="str">
        <f t="shared" si="35"/>
        <v>F</v>
      </c>
      <c r="S63" s="208" t="str">
        <f t="shared" si="35"/>
        <v>F</v>
      </c>
      <c r="T63" s="208" t="str">
        <f t="shared" si="35"/>
        <v>F</v>
      </c>
      <c r="U63" s="208" t="str">
        <f t="shared" si="35"/>
        <v>F</v>
      </c>
      <c r="V63" s="208" t="str">
        <f t="shared" si="35"/>
        <v>F</v>
      </c>
      <c r="W63" s="208" t="str">
        <f t="shared" si="35"/>
        <v>F</v>
      </c>
      <c r="X63" s="208" t="str">
        <f t="shared" si="35"/>
        <v>F</v>
      </c>
      <c r="Y63" s="208" t="str">
        <f t="shared" si="35"/>
        <v>F</v>
      </c>
      <c r="Z63" s="208" t="str">
        <f t="shared" si="35"/>
        <v>F</v>
      </c>
      <c r="AA63" s="209" t="str">
        <f t="shared" si="35"/>
        <v>T</v>
      </c>
      <c r="AB63" s="208" t="str">
        <f t="shared" si="35"/>
        <v>T</v>
      </c>
      <c r="AC63" s="208" t="str">
        <f t="shared" si="35"/>
        <v>T</v>
      </c>
      <c r="AD63" s="208" t="str">
        <f t="shared" si="35"/>
        <v>T</v>
      </c>
      <c r="AE63" s="208" t="str">
        <f t="shared" si="35"/>
        <v>T</v>
      </c>
      <c r="AF63" s="208" t="str">
        <f t="shared" si="35"/>
        <v>T</v>
      </c>
      <c r="AG63" s="208" t="str">
        <f t="shared" si="35"/>
        <v>T</v>
      </c>
      <c r="AH63" s="208" t="str">
        <f t="shared" si="35"/>
        <v>T</v>
      </c>
      <c r="AI63" s="208" t="str">
        <f t="shared" si="35"/>
        <v>T</v>
      </c>
      <c r="AJ63" s="208" t="str">
        <f t="shared" si="35"/>
        <v>T</v>
      </c>
      <c r="AK63" s="209" t="str">
        <f t="shared" si="35"/>
        <v>T</v>
      </c>
      <c r="AL63" s="208" t="str">
        <f t="shared" si="35"/>
        <v>F</v>
      </c>
      <c r="AM63" s="208" t="str">
        <f t="shared" si="35"/>
        <v>F</v>
      </c>
      <c r="AN63" s="208" t="str">
        <f t="shared" si="35"/>
        <v>F</v>
      </c>
      <c r="AO63" s="208" t="str">
        <f t="shared" si="35"/>
        <v>F</v>
      </c>
      <c r="AP63" s="208" t="str">
        <f t="shared" si="35"/>
        <v>F</v>
      </c>
      <c r="AQ63" s="208" t="str">
        <f t="shared" si="35"/>
        <v>F</v>
      </c>
      <c r="AR63" s="208" t="str">
        <f t="shared" si="35"/>
        <v>F</v>
      </c>
      <c r="AS63" s="208" t="str">
        <f t="shared" si="35"/>
        <v>F</v>
      </c>
      <c r="AT63" s="208" t="str">
        <f t="shared" si="35"/>
        <v>F</v>
      </c>
      <c r="AU63" s="209" t="str">
        <f t="shared" si="35"/>
        <v>F</v>
      </c>
      <c r="AV63" s="208" t="str">
        <f t="shared" si="35"/>
        <v>F</v>
      </c>
      <c r="AW63" s="208" t="str">
        <f t="shared" si="35"/>
        <v>F</v>
      </c>
      <c r="AX63" s="208" t="str">
        <f t="shared" si="35"/>
        <v>F</v>
      </c>
      <c r="AY63" s="208" t="str">
        <f t="shared" si="35"/>
        <v>F</v>
      </c>
      <c r="AZ63" s="208" t="str">
        <f t="shared" si="35"/>
        <v>F</v>
      </c>
      <c r="BA63" s="208" t="str">
        <f t="shared" si="35"/>
        <v>F</v>
      </c>
      <c r="BB63" s="208" t="str">
        <f t="shared" si="35"/>
        <v>F</v>
      </c>
      <c r="BC63" s="208" t="str">
        <f t="shared" si="35"/>
        <v>F</v>
      </c>
      <c r="BD63" s="208" t="str">
        <f t="shared" si="35"/>
        <v>F</v>
      </c>
      <c r="BE63" s="209" t="str">
        <f t="shared" si="35"/>
        <v>F</v>
      </c>
      <c r="BF63" s="208" t="str">
        <f t="shared" si="35"/>
        <v>F</v>
      </c>
      <c r="BG63" s="208" t="str">
        <f t="shared" si="35"/>
        <v>F</v>
      </c>
      <c r="BH63" s="208" t="str">
        <f t="shared" si="35"/>
        <v>F</v>
      </c>
      <c r="BI63" s="208" t="str">
        <f t="shared" si="35"/>
        <v>F</v>
      </c>
      <c r="BJ63" s="208" t="str">
        <f t="shared" si="35"/>
        <v>F</v>
      </c>
      <c r="BK63" s="208" t="str">
        <f t="shared" si="35"/>
        <v>F</v>
      </c>
      <c r="BL63" s="208" t="str">
        <f t="shared" si="35"/>
        <v>F</v>
      </c>
      <c r="BM63" s="208" t="str">
        <f t="shared" si="35"/>
        <v>F</v>
      </c>
      <c r="BN63" s="208" t="str">
        <f t="shared" si="35"/>
        <v>F</v>
      </c>
      <c r="BO63" s="209" t="str">
        <f t="shared" si="35"/>
        <v>F</v>
      </c>
      <c r="BP63" s="208" t="str">
        <f t="shared" si="35"/>
        <v>F</v>
      </c>
      <c r="BQ63" s="208" t="str">
        <f t="shared" si="35"/>
        <v>F</v>
      </c>
      <c r="BR63" s="208" t="str">
        <f t="shared" si="35"/>
        <v>F</v>
      </c>
      <c r="BS63" s="208" t="str">
        <f t="shared" si="37"/>
        <v>F</v>
      </c>
      <c r="BT63" s="208" t="str">
        <f t="shared" si="37"/>
        <v>F</v>
      </c>
      <c r="BU63" s="208" t="str">
        <f t="shared" si="37"/>
        <v>F</v>
      </c>
      <c r="BV63" s="208" t="str">
        <f t="shared" si="37"/>
        <v>F</v>
      </c>
      <c r="BW63" s="208" t="str">
        <f t="shared" si="37"/>
        <v>F</v>
      </c>
      <c r="BX63" s="208" t="str">
        <f t="shared" si="37"/>
        <v>F</v>
      </c>
      <c r="BY63" s="209" t="str">
        <f t="shared" si="37"/>
        <v>F</v>
      </c>
      <c r="BZ63" s="208" t="str">
        <f t="shared" si="37"/>
        <v>F</v>
      </c>
      <c r="CA63" s="208" t="str">
        <f t="shared" si="37"/>
        <v>F</v>
      </c>
      <c r="CB63" s="208" t="str">
        <f t="shared" si="37"/>
        <v>F</v>
      </c>
      <c r="CC63" s="208" t="str">
        <f t="shared" si="37"/>
        <v>F</v>
      </c>
      <c r="CD63" s="208" t="str">
        <f t="shared" si="37"/>
        <v>F</v>
      </c>
      <c r="CE63" s="208" t="str">
        <f t="shared" si="37"/>
        <v>F</v>
      </c>
      <c r="CF63" s="208" t="str">
        <f t="shared" si="37"/>
        <v>F</v>
      </c>
      <c r="CG63" s="208" t="str">
        <f t="shared" si="37"/>
        <v>F</v>
      </c>
      <c r="CH63" s="208" t="str">
        <f t="shared" si="37"/>
        <v>F</v>
      </c>
      <c r="CI63" s="209" t="str">
        <f t="shared" si="37"/>
        <v>F</v>
      </c>
      <c r="CJ63" s="208" t="str">
        <f t="shared" si="37"/>
        <v>F</v>
      </c>
      <c r="CK63" s="208" t="str">
        <f t="shared" si="37"/>
        <v>F</v>
      </c>
      <c r="CL63" s="208" t="str">
        <f t="shared" si="37"/>
        <v>F</v>
      </c>
      <c r="CM63" s="208" t="str">
        <f t="shared" si="37"/>
        <v>F</v>
      </c>
      <c r="CN63" s="208" t="str">
        <f t="shared" si="37"/>
        <v>F</v>
      </c>
      <c r="CO63" s="208" t="str">
        <f t="shared" si="37"/>
        <v>F</v>
      </c>
      <c r="CP63" s="208" t="str">
        <f t="shared" si="37"/>
        <v>F</v>
      </c>
      <c r="CQ63" s="208" t="str">
        <f t="shared" si="37"/>
        <v>F</v>
      </c>
      <c r="CR63" s="208" t="str">
        <f t="shared" si="37"/>
        <v>F</v>
      </c>
      <c r="CS63" s="209" t="str">
        <f t="shared" si="37"/>
        <v>F</v>
      </c>
      <c r="CT63" s="208" t="str">
        <f t="shared" si="37"/>
        <v>F</v>
      </c>
      <c r="CU63" s="208" t="str">
        <f t="shared" si="37"/>
        <v>F</v>
      </c>
      <c r="CV63" s="208" t="str">
        <f t="shared" si="37"/>
        <v>F</v>
      </c>
      <c r="CW63" s="208" t="str">
        <f t="shared" si="37"/>
        <v>F</v>
      </c>
      <c r="CX63" s="208" t="str">
        <f t="shared" si="37"/>
        <v>F</v>
      </c>
      <c r="CY63" s="208" t="str">
        <f t="shared" si="37"/>
        <v>F</v>
      </c>
      <c r="CZ63" s="208" t="str">
        <f t="shared" si="37"/>
        <v>F</v>
      </c>
      <c r="DA63" s="208" t="str">
        <f t="shared" si="37"/>
        <v>F</v>
      </c>
      <c r="DB63" s="208" t="str">
        <f t="shared" si="37"/>
        <v>F</v>
      </c>
      <c r="DC63" s="210" t="str">
        <f t="shared" si="37"/>
        <v>F</v>
      </c>
    </row>
    <row r="64" spans="2:111" x14ac:dyDescent="0.2">
      <c r="B64" s="205"/>
      <c r="C64" s="881"/>
      <c r="D64" s="206"/>
      <c r="E64" s="247"/>
      <c r="F64" s="207"/>
      <c r="G64" s="220"/>
      <c r="H64" s="221"/>
      <c r="I64" s="221"/>
      <c r="J64" s="221"/>
      <c r="K64" s="221"/>
      <c r="L64" s="221"/>
      <c r="M64" s="221"/>
      <c r="N64" s="221"/>
      <c r="O64" s="221"/>
      <c r="P64" s="221"/>
      <c r="Q64" s="222"/>
      <c r="R64" s="221"/>
      <c r="S64" s="221"/>
      <c r="T64" s="221"/>
      <c r="U64" s="221"/>
      <c r="V64" s="221"/>
      <c r="W64" s="221"/>
      <c r="X64" s="221"/>
      <c r="Y64" s="221"/>
      <c r="Z64" s="221"/>
      <c r="AA64" s="222"/>
      <c r="AB64" s="221"/>
      <c r="AC64" s="221"/>
      <c r="AD64" s="221"/>
      <c r="AE64" s="221"/>
      <c r="AF64" s="221"/>
      <c r="AG64" s="221"/>
      <c r="AH64" s="221"/>
      <c r="AI64" s="221"/>
      <c r="AJ64" s="221"/>
      <c r="AK64" s="222"/>
      <c r="AL64" s="221"/>
      <c r="AM64" s="221"/>
      <c r="AN64" s="221"/>
      <c r="AO64" s="221"/>
      <c r="AP64" s="221"/>
      <c r="AQ64" s="221"/>
      <c r="AR64" s="221"/>
      <c r="AS64" s="221"/>
      <c r="AT64" s="221"/>
      <c r="AU64" s="222"/>
      <c r="AV64" s="221"/>
      <c r="AW64" s="221"/>
      <c r="AX64" s="221"/>
      <c r="AY64" s="221"/>
      <c r="AZ64" s="221"/>
      <c r="BA64" s="221"/>
      <c r="BB64" s="221"/>
      <c r="BC64" s="221"/>
      <c r="BD64" s="221"/>
      <c r="BE64" s="222"/>
      <c r="BF64" s="221"/>
      <c r="BG64" s="221"/>
      <c r="BH64" s="221"/>
      <c r="BI64" s="221"/>
      <c r="BJ64" s="221"/>
      <c r="BK64" s="221"/>
      <c r="BL64" s="221"/>
      <c r="BM64" s="221"/>
      <c r="BN64" s="221"/>
      <c r="BO64" s="222"/>
      <c r="BP64" s="221"/>
      <c r="BQ64" s="221"/>
      <c r="BR64" s="221"/>
      <c r="BS64" s="221"/>
      <c r="BT64" s="221"/>
      <c r="BU64" s="221"/>
      <c r="BV64" s="221"/>
      <c r="BW64" s="221"/>
      <c r="BX64" s="221"/>
      <c r="BY64" s="222"/>
      <c r="BZ64" s="221"/>
      <c r="CA64" s="221"/>
      <c r="CB64" s="221"/>
      <c r="CC64" s="221"/>
      <c r="CD64" s="221"/>
      <c r="CE64" s="221"/>
      <c r="CF64" s="221"/>
      <c r="CG64" s="221"/>
      <c r="CH64" s="221"/>
      <c r="CI64" s="222"/>
      <c r="CJ64" s="221"/>
      <c r="CK64" s="221"/>
      <c r="CL64" s="221"/>
      <c r="CM64" s="221"/>
      <c r="CN64" s="221"/>
      <c r="CO64" s="221"/>
      <c r="CP64" s="221"/>
      <c r="CQ64" s="221"/>
      <c r="CR64" s="221"/>
      <c r="CS64" s="222"/>
      <c r="CT64" s="221"/>
      <c r="CU64" s="221"/>
      <c r="CV64" s="221"/>
      <c r="CW64" s="221"/>
      <c r="CX64" s="221"/>
      <c r="CY64" s="221"/>
      <c r="CZ64" s="221"/>
      <c r="DA64" s="221"/>
      <c r="DB64" s="221"/>
      <c r="DC64" s="223"/>
    </row>
    <row r="65" spans="2:111" x14ac:dyDescent="0.2">
      <c r="B65" s="205"/>
      <c r="C65" s="881"/>
      <c r="D65" s="206" t="str">
        <f>'Technologies Matrix'!B49</f>
        <v>Pond and Estuary Circulators</v>
      </c>
      <c r="E65" s="247">
        <f>'Technologies Matrix'!S49</f>
        <v>0</v>
      </c>
      <c r="F65" s="207">
        <f>'Technologies Matrix'!T49</f>
        <v>0</v>
      </c>
      <c r="G65" s="209" t="str">
        <f t="shared" si="35"/>
        <v>T</v>
      </c>
      <c r="H65" s="208" t="str">
        <f t="shared" si="35"/>
        <v>F</v>
      </c>
      <c r="I65" s="208" t="str">
        <f t="shared" si="35"/>
        <v>F</v>
      </c>
      <c r="J65" s="208" t="str">
        <f t="shared" si="35"/>
        <v>F</v>
      </c>
      <c r="K65" s="208" t="str">
        <f t="shared" si="35"/>
        <v>F</v>
      </c>
      <c r="L65" s="208" t="str">
        <f t="shared" si="35"/>
        <v>F</v>
      </c>
      <c r="M65" s="208" t="str">
        <f t="shared" si="35"/>
        <v>F</v>
      </c>
      <c r="N65" s="208" t="str">
        <f t="shared" si="35"/>
        <v>F</v>
      </c>
      <c r="O65" s="208" t="str">
        <f t="shared" si="35"/>
        <v>F</v>
      </c>
      <c r="P65" s="208" t="str">
        <f t="shared" si="35"/>
        <v>F</v>
      </c>
      <c r="Q65" s="209" t="str">
        <f t="shared" si="36"/>
        <v>F</v>
      </c>
      <c r="R65" s="208" t="str">
        <f t="shared" si="35"/>
        <v>F</v>
      </c>
      <c r="S65" s="208" t="str">
        <f t="shared" si="35"/>
        <v>F</v>
      </c>
      <c r="T65" s="208" t="str">
        <f t="shared" si="35"/>
        <v>F</v>
      </c>
      <c r="U65" s="208" t="str">
        <f t="shared" si="35"/>
        <v>F</v>
      </c>
      <c r="V65" s="208" t="str">
        <f t="shared" si="35"/>
        <v>F</v>
      </c>
      <c r="W65" s="208" t="str">
        <f t="shared" si="35"/>
        <v>F</v>
      </c>
      <c r="X65" s="208" t="str">
        <f t="shared" si="35"/>
        <v>F</v>
      </c>
      <c r="Y65" s="208" t="str">
        <f t="shared" si="35"/>
        <v>F</v>
      </c>
      <c r="Z65" s="208" t="str">
        <f t="shared" si="35"/>
        <v>F</v>
      </c>
      <c r="AA65" s="209" t="str">
        <f t="shared" si="35"/>
        <v>F</v>
      </c>
      <c r="AB65" s="208" t="str">
        <f t="shared" si="35"/>
        <v>F</v>
      </c>
      <c r="AC65" s="208" t="str">
        <f t="shared" si="35"/>
        <v>F</v>
      </c>
      <c r="AD65" s="208" t="str">
        <f t="shared" si="35"/>
        <v>F</v>
      </c>
      <c r="AE65" s="208" t="str">
        <f t="shared" si="35"/>
        <v>F</v>
      </c>
      <c r="AF65" s="208" t="str">
        <f t="shared" si="35"/>
        <v>F</v>
      </c>
      <c r="AG65" s="208" t="str">
        <f t="shared" si="35"/>
        <v>F</v>
      </c>
      <c r="AH65" s="208" t="str">
        <f t="shared" si="35"/>
        <v>F</v>
      </c>
      <c r="AI65" s="208" t="str">
        <f t="shared" si="35"/>
        <v>F</v>
      </c>
      <c r="AJ65" s="208" t="str">
        <f t="shared" si="35"/>
        <v>F</v>
      </c>
      <c r="AK65" s="209" t="str">
        <f t="shared" si="35"/>
        <v>F</v>
      </c>
      <c r="AL65" s="208" t="str">
        <f t="shared" si="35"/>
        <v>F</v>
      </c>
      <c r="AM65" s="208" t="str">
        <f t="shared" si="35"/>
        <v>F</v>
      </c>
      <c r="AN65" s="208" t="str">
        <f t="shared" si="35"/>
        <v>F</v>
      </c>
      <c r="AO65" s="208" t="str">
        <f t="shared" si="35"/>
        <v>F</v>
      </c>
      <c r="AP65" s="208" t="str">
        <f t="shared" si="35"/>
        <v>F</v>
      </c>
      <c r="AQ65" s="208" t="str">
        <f t="shared" si="35"/>
        <v>F</v>
      </c>
      <c r="AR65" s="208" t="str">
        <f t="shared" si="35"/>
        <v>F</v>
      </c>
      <c r="AS65" s="208" t="str">
        <f t="shared" si="35"/>
        <v>F</v>
      </c>
      <c r="AT65" s="208" t="str">
        <f t="shared" si="35"/>
        <v>F</v>
      </c>
      <c r="AU65" s="209" t="str">
        <f t="shared" si="35"/>
        <v>F</v>
      </c>
      <c r="AV65" s="208" t="str">
        <f t="shared" si="35"/>
        <v>F</v>
      </c>
      <c r="AW65" s="208" t="str">
        <f t="shared" si="35"/>
        <v>F</v>
      </c>
      <c r="AX65" s="208" t="str">
        <f t="shared" si="35"/>
        <v>F</v>
      </c>
      <c r="AY65" s="208" t="str">
        <f t="shared" si="35"/>
        <v>F</v>
      </c>
      <c r="AZ65" s="208" t="str">
        <f t="shared" si="35"/>
        <v>F</v>
      </c>
      <c r="BA65" s="208" t="str">
        <f t="shared" si="35"/>
        <v>F</v>
      </c>
      <c r="BB65" s="208" t="str">
        <f t="shared" si="35"/>
        <v>F</v>
      </c>
      <c r="BC65" s="208" t="str">
        <f t="shared" si="35"/>
        <v>F</v>
      </c>
      <c r="BD65" s="208" t="str">
        <f t="shared" si="35"/>
        <v>F</v>
      </c>
      <c r="BE65" s="209" t="str">
        <f t="shared" si="35"/>
        <v>F</v>
      </c>
      <c r="BF65" s="208" t="str">
        <f t="shared" si="35"/>
        <v>F</v>
      </c>
      <c r="BG65" s="208" t="str">
        <f t="shared" si="35"/>
        <v>F</v>
      </c>
      <c r="BH65" s="208" t="str">
        <f t="shared" si="35"/>
        <v>F</v>
      </c>
      <c r="BI65" s="208" t="str">
        <f t="shared" si="35"/>
        <v>F</v>
      </c>
      <c r="BJ65" s="208" t="str">
        <f t="shared" si="35"/>
        <v>F</v>
      </c>
      <c r="BK65" s="208" t="str">
        <f t="shared" si="35"/>
        <v>F</v>
      </c>
      <c r="BL65" s="208" t="str">
        <f t="shared" si="35"/>
        <v>F</v>
      </c>
      <c r="BM65" s="208" t="str">
        <f t="shared" si="35"/>
        <v>F</v>
      </c>
      <c r="BN65" s="208" t="str">
        <f t="shared" si="35"/>
        <v>F</v>
      </c>
      <c r="BO65" s="209" t="str">
        <f t="shared" si="35"/>
        <v>F</v>
      </c>
      <c r="BP65" s="208" t="str">
        <f t="shared" si="35"/>
        <v>F</v>
      </c>
      <c r="BQ65" s="208" t="str">
        <f t="shared" si="35"/>
        <v>F</v>
      </c>
      <c r="BR65" s="208" t="str">
        <f>IF(AND(BR$3&gt;=$E65,BR$3&lt;=$F65),"T","F")</f>
        <v>F</v>
      </c>
      <c r="BS65" s="208" t="str">
        <f t="shared" si="37"/>
        <v>F</v>
      </c>
      <c r="BT65" s="208" t="str">
        <f t="shared" si="37"/>
        <v>F</v>
      </c>
      <c r="BU65" s="208" t="str">
        <f t="shared" si="37"/>
        <v>F</v>
      </c>
      <c r="BV65" s="208" t="str">
        <f t="shared" si="37"/>
        <v>F</v>
      </c>
      <c r="BW65" s="208" t="str">
        <f t="shared" si="37"/>
        <v>F</v>
      </c>
      <c r="BX65" s="208" t="str">
        <f t="shared" si="37"/>
        <v>F</v>
      </c>
      <c r="BY65" s="209" t="str">
        <f t="shared" si="37"/>
        <v>F</v>
      </c>
      <c r="BZ65" s="208" t="str">
        <f t="shared" si="37"/>
        <v>F</v>
      </c>
      <c r="CA65" s="208" t="str">
        <f t="shared" si="37"/>
        <v>F</v>
      </c>
      <c r="CB65" s="208" t="str">
        <f t="shared" si="37"/>
        <v>F</v>
      </c>
      <c r="CC65" s="208" t="str">
        <f t="shared" si="37"/>
        <v>F</v>
      </c>
      <c r="CD65" s="208" t="str">
        <f t="shared" si="37"/>
        <v>F</v>
      </c>
      <c r="CE65" s="208" t="str">
        <f t="shared" si="37"/>
        <v>F</v>
      </c>
      <c r="CF65" s="208" t="str">
        <f t="shared" si="37"/>
        <v>F</v>
      </c>
      <c r="CG65" s="208" t="str">
        <f t="shared" si="37"/>
        <v>F</v>
      </c>
      <c r="CH65" s="208" t="str">
        <f t="shared" si="37"/>
        <v>F</v>
      </c>
      <c r="CI65" s="209" t="str">
        <f t="shared" si="37"/>
        <v>F</v>
      </c>
      <c r="CJ65" s="208" t="str">
        <f t="shared" si="37"/>
        <v>F</v>
      </c>
      <c r="CK65" s="208" t="str">
        <f t="shared" si="37"/>
        <v>F</v>
      </c>
      <c r="CL65" s="208" t="str">
        <f t="shared" si="37"/>
        <v>F</v>
      </c>
      <c r="CM65" s="208" t="str">
        <f t="shared" si="37"/>
        <v>F</v>
      </c>
      <c r="CN65" s="208" t="str">
        <f t="shared" si="37"/>
        <v>F</v>
      </c>
      <c r="CO65" s="208" t="str">
        <f t="shared" si="37"/>
        <v>F</v>
      </c>
      <c r="CP65" s="208" t="str">
        <f t="shared" si="37"/>
        <v>F</v>
      </c>
      <c r="CQ65" s="208" t="str">
        <f t="shared" si="37"/>
        <v>F</v>
      </c>
      <c r="CR65" s="208" t="str">
        <f t="shared" si="37"/>
        <v>F</v>
      </c>
      <c r="CS65" s="209" t="str">
        <f t="shared" si="37"/>
        <v>F</v>
      </c>
      <c r="CT65" s="208" t="str">
        <f t="shared" si="37"/>
        <v>F</v>
      </c>
      <c r="CU65" s="208" t="str">
        <f t="shared" si="37"/>
        <v>F</v>
      </c>
      <c r="CV65" s="208" t="str">
        <f t="shared" si="37"/>
        <v>F</v>
      </c>
      <c r="CW65" s="208" t="str">
        <f t="shared" si="37"/>
        <v>F</v>
      </c>
      <c r="CX65" s="208" t="str">
        <f t="shared" si="37"/>
        <v>F</v>
      </c>
      <c r="CY65" s="208" t="str">
        <f t="shared" si="37"/>
        <v>F</v>
      </c>
      <c r="CZ65" s="208" t="str">
        <f t="shared" si="37"/>
        <v>F</v>
      </c>
      <c r="DA65" s="208" t="str">
        <f t="shared" si="37"/>
        <v>F</v>
      </c>
      <c r="DB65" s="208" t="str">
        <f t="shared" si="37"/>
        <v>F</v>
      </c>
      <c r="DC65" s="210" t="str">
        <f t="shared" si="37"/>
        <v>F</v>
      </c>
    </row>
    <row r="66" spans="2:111" x14ac:dyDescent="0.2">
      <c r="B66" s="205"/>
      <c r="C66" s="881"/>
      <c r="D66" s="206"/>
      <c r="E66" s="247"/>
      <c r="F66" s="207"/>
      <c r="G66" s="220"/>
      <c r="H66" s="221"/>
      <c r="I66" s="221"/>
      <c r="J66" s="221"/>
      <c r="K66" s="221"/>
      <c r="L66" s="221"/>
      <c r="M66" s="221"/>
      <c r="N66" s="221"/>
      <c r="O66" s="221"/>
      <c r="P66" s="221"/>
      <c r="Q66" s="222"/>
      <c r="R66" s="221"/>
      <c r="S66" s="221"/>
      <c r="T66" s="221"/>
      <c r="U66" s="221"/>
      <c r="V66" s="221"/>
      <c r="W66" s="221"/>
      <c r="X66" s="221"/>
      <c r="Y66" s="221"/>
      <c r="Z66" s="221"/>
      <c r="AA66" s="222"/>
      <c r="AB66" s="221"/>
      <c r="AC66" s="221"/>
      <c r="AD66" s="221"/>
      <c r="AE66" s="221"/>
      <c r="AF66" s="221"/>
      <c r="AG66" s="221"/>
      <c r="AH66" s="221"/>
      <c r="AI66" s="221"/>
      <c r="AJ66" s="221"/>
      <c r="AK66" s="222"/>
      <c r="AL66" s="221"/>
      <c r="AM66" s="221"/>
      <c r="AN66" s="221"/>
      <c r="AO66" s="221"/>
      <c r="AP66" s="221"/>
      <c r="AQ66" s="221"/>
      <c r="AR66" s="221"/>
      <c r="AS66" s="221"/>
      <c r="AT66" s="221"/>
      <c r="AU66" s="222"/>
      <c r="AV66" s="221"/>
      <c r="AW66" s="221"/>
      <c r="AX66" s="221"/>
      <c r="AY66" s="221"/>
      <c r="AZ66" s="221"/>
      <c r="BA66" s="221"/>
      <c r="BB66" s="221"/>
      <c r="BC66" s="221"/>
      <c r="BD66" s="221"/>
      <c r="BE66" s="222"/>
      <c r="BF66" s="221"/>
      <c r="BG66" s="221"/>
      <c r="BH66" s="221"/>
      <c r="BI66" s="221"/>
      <c r="BJ66" s="221"/>
      <c r="BK66" s="221"/>
      <c r="BL66" s="221"/>
      <c r="BM66" s="221"/>
      <c r="BN66" s="221"/>
      <c r="BO66" s="222"/>
      <c r="BP66" s="221"/>
      <c r="BQ66" s="221"/>
      <c r="BR66" s="221"/>
      <c r="BS66" s="221"/>
      <c r="BT66" s="221"/>
      <c r="BU66" s="221"/>
      <c r="BV66" s="221"/>
      <c r="BW66" s="221"/>
      <c r="BX66" s="221"/>
      <c r="BY66" s="222"/>
      <c r="BZ66" s="221"/>
      <c r="CA66" s="221"/>
      <c r="CB66" s="221"/>
      <c r="CC66" s="221"/>
      <c r="CD66" s="221"/>
      <c r="CE66" s="221"/>
      <c r="CF66" s="221"/>
      <c r="CG66" s="221"/>
      <c r="CH66" s="221"/>
      <c r="CI66" s="222"/>
      <c r="CJ66" s="221"/>
      <c r="CK66" s="221"/>
      <c r="CL66" s="221"/>
      <c r="CM66" s="221"/>
      <c r="CN66" s="221"/>
      <c r="CO66" s="221"/>
      <c r="CP66" s="221"/>
      <c r="CQ66" s="221"/>
      <c r="CR66" s="221"/>
      <c r="CS66" s="222"/>
      <c r="CT66" s="221"/>
      <c r="CU66" s="221"/>
      <c r="CV66" s="221"/>
      <c r="CW66" s="221"/>
      <c r="CX66" s="221"/>
      <c r="CY66" s="221"/>
      <c r="CZ66" s="221"/>
      <c r="DA66" s="221"/>
      <c r="DB66" s="221"/>
      <c r="DC66" s="223"/>
    </row>
    <row r="67" spans="2:111" x14ac:dyDescent="0.2">
      <c r="B67" s="205"/>
      <c r="C67" s="881"/>
      <c r="D67" s="206" t="str">
        <f>'Technologies Matrix'!B50</f>
        <v>Surface Water Remediation Wetlands</v>
      </c>
      <c r="E67" s="247">
        <f>'Technologies Matrix'!S50</f>
        <v>70</v>
      </c>
      <c r="F67" s="207">
        <f>'Technologies Matrix'!T50</f>
        <v>95</v>
      </c>
      <c r="G67" s="209" t="str">
        <f t="shared" ref="G67:BR67" si="38">IF(AND(G$3&gt;=$E67,G$3&lt;=$F67),"T","F")</f>
        <v>F</v>
      </c>
      <c r="H67" s="208" t="str">
        <f t="shared" si="38"/>
        <v>F</v>
      </c>
      <c r="I67" s="208" t="str">
        <f t="shared" si="38"/>
        <v>F</v>
      </c>
      <c r="J67" s="208" t="str">
        <f t="shared" si="38"/>
        <v>F</v>
      </c>
      <c r="K67" s="208" t="str">
        <f t="shared" si="38"/>
        <v>F</v>
      </c>
      <c r="L67" s="208" t="str">
        <f t="shared" si="38"/>
        <v>F</v>
      </c>
      <c r="M67" s="208" t="str">
        <f t="shared" si="38"/>
        <v>F</v>
      </c>
      <c r="N67" s="208" t="str">
        <f t="shared" si="38"/>
        <v>F</v>
      </c>
      <c r="O67" s="208" t="str">
        <f t="shared" si="38"/>
        <v>F</v>
      </c>
      <c r="P67" s="208" t="str">
        <f t="shared" si="38"/>
        <v>F</v>
      </c>
      <c r="Q67" s="209" t="str">
        <f t="shared" si="38"/>
        <v>F</v>
      </c>
      <c r="R67" s="208" t="str">
        <f t="shared" si="38"/>
        <v>F</v>
      </c>
      <c r="S67" s="208" t="str">
        <f t="shared" si="38"/>
        <v>F</v>
      </c>
      <c r="T67" s="208" t="str">
        <f t="shared" si="38"/>
        <v>F</v>
      </c>
      <c r="U67" s="208" t="str">
        <f t="shared" si="38"/>
        <v>F</v>
      </c>
      <c r="V67" s="208" t="str">
        <f t="shared" si="38"/>
        <v>F</v>
      </c>
      <c r="W67" s="208" t="str">
        <f t="shared" si="38"/>
        <v>F</v>
      </c>
      <c r="X67" s="208" t="str">
        <f t="shared" si="38"/>
        <v>F</v>
      </c>
      <c r="Y67" s="208" t="str">
        <f t="shared" si="38"/>
        <v>F</v>
      </c>
      <c r="Z67" s="208" t="str">
        <f t="shared" si="38"/>
        <v>F</v>
      </c>
      <c r="AA67" s="209" t="str">
        <f t="shared" si="38"/>
        <v>F</v>
      </c>
      <c r="AB67" s="208" t="str">
        <f t="shared" si="38"/>
        <v>F</v>
      </c>
      <c r="AC67" s="208" t="str">
        <f t="shared" si="38"/>
        <v>F</v>
      </c>
      <c r="AD67" s="208" t="str">
        <f t="shared" si="38"/>
        <v>F</v>
      </c>
      <c r="AE67" s="208" t="str">
        <f t="shared" si="38"/>
        <v>F</v>
      </c>
      <c r="AF67" s="208" t="str">
        <f t="shared" si="38"/>
        <v>F</v>
      </c>
      <c r="AG67" s="208" t="str">
        <f t="shared" si="38"/>
        <v>F</v>
      </c>
      <c r="AH67" s="208" t="str">
        <f t="shared" si="38"/>
        <v>F</v>
      </c>
      <c r="AI67" s="208" t="str">
        <f t="shared" si="38"/>
        <v>F</v>
      </c>
      <c r="AJ67" s="208" t="str">
        <f t="shared" si="38"/>
        <v>F</v>
      </c>
      <c r="AK67" s="209" t="str">
        <f t="shared" si="38"/>
        <v>F</v>
      </c>
      <c r="AL67" s="208" t="str">
        <f t="shared" si="38"/>
        <v>F</v>
      </c>
      <c r="AM67" s="208" t="str">
        <f t="shared" si="38"/>
        <v>F</v>
      </c>
      <c r="AN67" s="208" t="str">
        <f t="shared" si="38"/>
        <v>F</v>
      </c>
      <c r="AO67" s="208" t="str">
        <f t="shared" si="38"/>
        <v>F</v>
      </c>
      <c r="AP67" s="208" t="str">
        <f t="shared" si="38"/>
        <v>F</v>
      </c>
      <c r="AQ67" s="208" t="str">
        <f t="shared" si="38"/>
        <v>F</v>
      </c>
      <c r="AR67" s="208" t="str">
        <f t="shared" si="38"/>
        <v>F</v>
      </c>
      <c r="AS67" s="208" t="str">
        <f t="shared" si="38"/>
        <v>F</v>
      </c>
      <c r="AT67" s="208" t="str">
        <f t="shared" si="38"/>
        <v>F</v>
      </c>
      <c r="AU67" s="209" t="str">
        <f t="shared" si="38"/>
        <v>F</v>
      </c>
      <c r="AV67" s="208" t="str">
        <f t="shared" si="38"/>
        <v>F</v>
      </c>
      <c r="AW67" s="208" t="str">
        <f t="shared" si="38"/>
        <v>F</v>
      </c>
      <c r="AX67" s="208" t="str">
        <f t="shared" si="38"/>
        <v>F</v>
      </c>
      <c r="AY67" s="208" t="str">
        <f t="shared" si="38"/>
        <v>F</v>
      </c>
      <c r="AZ67" s="208" t="str">
        <f t="shared" si="38"/>
        <v>F</v>
      </c>
      <c r="BA67" s="208" t="str">
        <f t="shared" si="38"/>
        <v>F</v>
      </c>
      <c r="BB67" s="208" t="str">
        <f t="shared" si="38"/>
        <v>F</v>
      </c>
      <c r="BC67" s="208" t="str">
        <f t="shared" si="38"/>
        <v>F</v>
      </c>
      <c r="BD67" s="208" t="str">
        <f t="shared" si="38"/>
        <v>F</v>
      </c>
      <c r="BE67" s="209" t="str">
        <f t="shared" si="38"/>
        <v>F</v>
      </c>
      <c r="BF67" s="208" t="str">
        <f t="shared" si="38"/>
        <v>F</v>
      </c>
      <c r="BG67" s="208" t="str">
        <f t="shared" si="38"/>
        <v>F</v>
      </c>
      <c r="BH67" s="208" t="str">
        <f t="shared" si="38"/>
        <v>F</v>
      </c>
      <c r="BI67" s="208" t="str">
        <f t="shared" si="38"/>
        <v>F</v>
      </c>
      <c r="BJ67" s="208" t="str">
        <f t="shared" si="38"/>
        <v>F</v>
      </c>
      <c r="BK67" s="208" t="str">
        <f t="shared" si="38"/>
        <v>F</v>
      </c>
      <c r="BL67" s="208" t="str">
        <f t="shared" si="38"/>
        <v>F</v>
      </c>
      <c r="BM67" s="208" t="str">
        <f t="shared" si="38"/>
        <v>F</v>
      </c>
      <c r="BN67" s="208" t="str">
        <f t="shared" si="38"/>
        <v>F</v>
      </c>
      <c r="BO67" s="209" t="str">
        <f t="shared" si="38"/>
        <v>F</v>
      </c>
      <c r="BP67" s="208" t="str">
        <f t="shared" si="38"/>
        <v>F</v>
      </c>
      <c r="BQ67" s="208" t="str">
        <f t="shared" si="38"/>
        <v>F</v>
      </c>
      <c r="BR67" s="208" t="str">
        <f t="shared" si="38"/>
        <v>F</v>
      </c>
      <c r="BS67" s="208" t="str">
        <f t="shared" si="37"/>
        <v>F</v>
      </c>
      <c r="BT67" s="208" t="str">
        <f t="shared" si="37"/>
        <v>F</v>
      </c>
      <c r="BU67" s="208" t="str">
        <f t="shared" si="37"/>
        <v>F</v>
      </c>
      <c r="BV67" s="208" t="str">
        <f t="shared" si="37"/>
        <v>F</v>
      </c>
      <c r="BW67" s="208" t="str">
        <f t="shared" si="37"/>
        <v>F</v>
      </c>
      <c r="BX67" s="208" t="str">
        <f t="shared" si="37"/>
        <v>F</v>
      </c>
      <c r="BY67" s="209" t="str">
        <f t="shared" si="37"/>
        <v>T</v>
      </c>
      <c r="BZ67" s="208" t="str">
        <f t="shared" si="37"/>
        <v>T</v>
      </c>
      <c r="CA67" s="208" t="str">
        <f t="shared" si="37"/>
        <v>T</v>
      </c>
      <c r="CB67" s="208" t="str">
        <f t="shared" si="37"/>
        <v>T</v>
      </c>
      <c r="CC67" s="208" t="str">
        <f t="shared" si="37"/>
        <v>T</v>
      </c>
      <c r="CD67" s="208" t="str">
        <f t="shared" si="37"/>
        <v>T</v>
      </c>
      <c r="CE67" s="208" t="str">
        <f t="shared" si="37"/>
        <v>T</v>
      </c>
      <c r="CF67" s="208" t="str">
        <f t="shared" si="37"/>
        <v>T</v>
      </c>
      <c r="CG67" s="208" t="str">
        <f t="shared" si="37"/>
        <v>T</v>
      </c>
      <c r="CH67" s="208" t="str">
        <f t="shared" si="37"/>
        <v>T</v>
      </c>
      <c r="CI67" s="209" t="str">
        <f t="shared" si="37"/>
        <v>T</v>
      </c>
      <c r="CJ67" s="208" t="str">
        <f t="shared" si="37"/>
        <v>T</v>
      </c>
      <c r="CK67" s="208" t="str">
        <f t="shared" si="37"/>
        <v>T</v>
      </c>
      <c r="CL67" s="208" t="str">
        <f t="shared" si="37"/>
        <v>T</v>
      </c>
      <c r="CM67" s="208" t="str">
        <f t="shared" si="37"/>
        <v>T</v>
      </c>
      <c r="CN67" s="208" t="str">
        <f t="shared" si="37"/>
        <v>T</v>
      </c>
      <c r="CO67" s="208" t="str">
        <f t="shared" si="37"/>
        <v>T</v>
      </c>
      <c r="CP67" s="208" t="str">
        <f t="shared" si="37"/>
        <v>T</v>
      </c>
      <c r="CQ67" s="208" t="str">
        <f t="shared" si="37"/>
        <v>T</v>
      </c>
      <c r="CR67" s="208" t="str">
        <f t="shared" si="37"/>
        <v>T</v>
      </c>
      <c r="CS67" s="209" t="str">
        <f t="shared" si="37"/>
        <v>T</v>
      </c>
      <c r="CT67" s="208" t="str">
        <f t="shared" si="37"/>
        <v>T</v>
      </c>
      <c r="CU67" s="208" t="str">
        <f t="shared" si="37"/>
        <v>T</v>
      </c>
      <c r="CV67" s="208" t="str">
        <f t="shared" si="37"/>
        <v>T</v>
      </c>
      <c r="CW67" s="208" t="str">
        <f t="shared" si="37"/>
        <v>T</v>
      </c>
      <c r="CX67" s="208" t="str">
        <f t="shared" si="37"/>
        <v>T</v>
      </c>
      <c r="CY67" s="208" t="str">
        <f t="shared" si="37"/>
        <v>F</v>
      </c>
      <c r="CZ67" s="208" t="str">
        <f t="shared" si="37"/>
        <v>F</v>
      </c>
      <c r="DA67" s="208" t="str">
        <f t="shared" si="37"/>
        <v>F</v>
      </c>
      <c r="DB67" s="208" t="str">
        <f t="shared" si="37"/>
        <v>F</v>
      </c>
      <c r="DC67" s="210" t="str">
        <f t="shared" si="37"/>
        <v>F</v>
      </c>
    </row>
    <row r="68" spans="2:111" x14ac:dyDescent="0.2">
      <c r="B68" s="205"/>
      <c r="C68" s="881"/>
      <c r="D68" s="206"/>
      <c r="E68" s="247"/>
      <c r="F68" s="207"/>
      <c r="G68" s="220"/>
      <c r="H68" s="221"/>
      <c r="I68" s="221"/>
      <c r="J68" s="221"/>
      <c r="K68" s="221"/>
      <c r="L68" s="221"/>
      <c r="M68" s="221"/>
      <c r="N68" s="221"/>
      <c r="O68" s="221"/>
      <c r="P68" s="221"/>
      <c r="Q68" s="222"/>
      <c r="R68" s="221"/>
      <c r="S68" s="221"/>
      <c r="T68" s="221"/>
      <c r="U68" s="221"/>
      <c r="V68" s="221"/>
      <c r="W68" s="221"/>
      <c r="X68" s="221"/>
      <c r="Y68" s="221"/>
      <c r="Z68" s="221"/>
      <c r="AA68" s="222"/>
      <c r="AB68" s="221"/>
      <c r="AC68" s="221"/>
      <c r="AD68" s="221"/>
      <c r="AE68" s="221"/>
      <c r="AF68" s="221"/>
      <c r="AG68" s="221"/>
      <c r="AH68" s="221"/>
      <c r="AI68" s="221"/>
      <c r="AJ68" s="221"/>
      <c r="AK68" s="222"/>
      <c r="AL68" s="221"/>
      <c r="AM68" s="221"/>
      <c r="AN68" s="221"/>
      <c r="AO68" s="221"/>
      <c r="AP68" s="221"/>
      <c r="AQ68" s="221"/>
      <c r="AR68" s="221"/>
      <c r="AS68" s="221"/>
      <c r="AT68" s="221"/>
      <c r="AU68" s="222"/>
      <c r="AV68" s="221"/>
      <c r="AW68" s="221"/>
      <c r="AX68" s="221"/>
      <c r="AY68" s="221"/>
      <c r="AZ68" s="221"/>
      <c r="BA68" s="221"/>
      <c r="BB68" s="221"/>
      <c r="BC68" s="221"/>
      <c r="BD68" s="221"/>
      <c r="BE68" s="222"/>
      <c r="BF68" s="221"/>
      <c r="BG68" s="221"/>
      <c r="BH68" s="221"/>
      <c r="BI68" s="221"/>
      <c r="BJ68" s="221"/>
      <c r="BK68" s="221"/>
      <c r="BL68" s="221"/>
      <c r="BM68" s="221"/>
      <c r="BN68" s="221"/>
      <c r="BO68" s="222"/>
      <c r="BP68" s="221"/>
      <c r="BQ68" s="221"/>
      <c r="BR68" s="221"/>
      <c r="BS68" s="221"/>
      <c r="BT68" s="221"/>
      <c r="BU68" s="221"/>
      <c r="BV68" s="221"/>
      <c r="BW68" s="221"/>
      <c r="BX68" s="221"/>
      <c r="BY68" s="222"/>
      <c r="BZ68" s="221"/>
      <c r="CA68" s="221"/>
      <c r="CB68" s="221"/>
      <c r="CC68" s="221"/>
      <c r="CD68" s="221"/>
      <c r="CE68" s="221"/>
      <c r="CF68" s="221"/>
      <c r="CG68" s="221"/>
      <c r="CH68" s="221"/>
      <c r="CI68" s="222"/>
      <c r="CJ68" s="221"/>
      <c r="CK68" s="221"/>
      <c r="CL68" s="221"/>
      <c r="CM68" s="221"/>
      <c r="CN68" s="221"/>
      <c r="CO68" s="221"/>
      <c r="CP68" s="221"/>
      <c r="CQ68" s="221"/>
      <c r="CR68" s="221"/>
      <c r="CS68" s="222"/>
      <c r="CT68" s="221"/>
      <c r="CU68" s="221"/>
      <c r="CV68" s="221"/>
      <c r="CW68" s="221"/>
      <c r="CX68" s="221"/>
      <c r="CY68" s="221"/>
      <c r="CZ68" s="221"/>
      <c r="DA68" s="221"/>
      <c r="DB68" s="221"/>
      <c r="DC68" s="223"/>
    </row>
    <row r="69" spans="2:111" x14ac:dyDescent="0.2">
      <c r="B69" s="205"/>
      <c r="C69" s="881"/>
      <c r="D69" s="206" t="str">
        <f>'Technologies Matrix'!B51</f>
        <v>Chemical Treatment of Ponds</v>
      </c>
      <c r="E69" s="247" t="str">
        <f>'Technologies Matrix'!S51</f>
        <v>N/A</v>
      </c>
      <c r="F69" s="207" t="str">
        <f>'Technologies Matrix'!T51</f>
        <v>N/A</v>
      </c>
      <c r="G69" s="209" t="str">
        <f t="shared" ref="G69:BR69" si="39">IF(AND(G$3&gt;=$E69,G$3&lt;=$F69),"T","F")</f>
        <v>F</v>
      </c>
      <c r="H69" s="208" t="str">
        <f t="shared" si="39"/>
        <v>F</v>
      </c>
      <c r="I69" s="208" t="str">
        <f t="shared" si="39"/>
        <v>F</v>
      </c>
      <c r="J69" s="208" t="str">
        <f t="shared" si="39"/>
        <v>F</v>
      </c>
      <c r="K69" s="208" t="str">
        <f t="shared" si="39"/>
        <v>F</v>
      </c>
      <c r="L69" s="208" t="str">
        <f t="shared" si="39"/>
        <v>F</v>
      </c>
      <c r="M69" s="208" t="str">
        <f t="shared" si="39"/>
        <v>F</v>
      </c>
      <c r="N69" s="208" t="str">
        <f t="shared" si="39"/>
        <v>F</v>
      </c>
      <c r="O69" s="208" t="str">
        <f t="shared" si="39"/>
        <v>F</v>
      </c>
      <c r="P69" s="208" t="str">
        <f t="shared" si="39"/>
        <v>F</v>
      </c>
      <c r="Q69" s="209" t="str">
        <f t="shared" si="39"/>
        <v>F</v>
      </c>
      <c r="R69" s="208" t="str">
        <f t="shared" si="39"/>
        <v>F</v>
      </c>
      <c r="S69" s="208" t="str">
        <f t="shared" si="39"/>
        <v>F</v>
      </c>
      <c r="T69" s="208" t="str">
        <f t="shared" si="39"/>
        <v>F</v>
      </c>
      <c r="U69" s="208" t="str">
        <f t="shared" si="39"/>
        <v>F</v>
      </c>
      <c r="V69" s="208" t="str">
        <f t="shared" si="39"/>
        <v>F</v>
      </c>
      <c r="W69" s="208" t="str">
        <f t="shared" si="39"/>
        <v>F</v>
      </c>
      <c r="X69" s="208" t="str">
        <f t="shared" si="39"/>
        <v>F</v>
      </c>
      <c r="Y69" s="208" t="str">
        <f t="shared" si="39"/>
        <v>F</v>
      </c>
      <c r="Z69" s="208" t="str">
        <f t="shared" si="39"/>
        <v>F</v>
      </c>
      <c r="AA69" s="209" t="str">
        <f t="shared" si="39"/>
        <v>F</v>
      </c>
      <c r="AB69" s="208" t="str">
        <f t="shared" si="39"/>
        <v>F</v>
      </c>
      <c r="AC69" s="208" t="str">
        <f t="shared" si="39"/>
        <v>F</v>
      </c>
      <c r="AD69" s="208" t="str">
        <f t="shared" si="39"/>
        <v>F</v>
      </c>
      <c r="AE69" s="208" t="str">
        <f t="shared" si="39"/>
        <v>F</v>
      </c>
      <c r="AF69" s="208" t="str">
        <f t="shared" si="39"/>
        <v>F</v>
      </c>
      <c r="AG69" s="208" t="str">
        <f t="shared" si="39"/>
        <v>F</v>
      </c>
      <c r="AH69" s="208" t="str">
        <f t="shared" si="39"/>
        <v>F</v>
      </c>
      <c r="AI69" s="208" t="str">
        <f t="shared" si="39"/>
        <v>F</v>
      </c>
      <c r="AJ69" s="208" t="str">
        <f t="shared" si="39"/>
        <v>F</v>
      </c>
      <c r="AK69" s="209" t="str">
        <f t="shared" si="39"/>
        <v>F</v>
      </c>
      <c r="AL69" s="208" t="str">
        <f t="shared" si="39"/>
        <v>F</v>
      </c>
      <c r="AM69" s="208" t="str">
        <f t="shared" si="39"/>
        <v>F</v>
      </c>
      <c r="AN69" s="208" t="str">
        <f t="shared" si="39"/>
        <v>F</v>
      </c>
      <c r="AO69" s="208" t="str">
        <f t="shared" si="39"/>
        <v>F</v>
      </c>
      <c r="AP69" s="208" t="str">
        <f t="shared" si="39"/>
        <v>F</v>
      </c>
      <c r="AQ69" s="208" t="str">
        <f t="shared" si="39"/>
        <v>F</v>
      </c>
      <c r="AR69" s="208" t="str">
        <f t="shared" si="39"/>
        <v>F</v>
      </c>
      <c r="AS69" s="208" t="str">
        <f t="shared" si="39"/>
        <v>F</v>
      </c>
      <c r="AT69" s="208" t="str">
        <f t="shared" si="39"/>
        <v>F</v>
      </c>
      <c r="AU69" s="209" t="str">
        <f t="shared" si="39"/>
        <v>F</v>
      </c>
      <c r="AV69" s="208" t="str">
        <f t="shared" si="39"/>
        <v>F</v>
      </c>
      <c r="AW69" s="208" t="str">
        <f t="shared" si="39"/>
        <v>F</v>
      </c>
      <c r="AX69" s="208" t="str">
        <f t="shared" si="39"/>
        <v>F</v>
      </c>
      <c r="AY69" s="208" t="str">
        <f t="shared" si="39"/>
        <v>F</v>
      </c>
      <c r="AZ69" s="208" t="str">
        <f t="shared" si="39"/>
        <v>F</v>
      </c>
      <c r="BA69" s="208" t="str">
        <f t="shared" si="39"/>
        <v>F</v>
      </c>
      <c r="BB69" s="208" t="str">
        <f t="shared" si="39"/>
        <v>F</v>
      </c>
      <c r="BC69" s="208" t="str">
        <f t="shared" si="39"/>
        <v>F</v>
      </c>
      <c r="BD69" s="208" t="str">
        <f t="shared" si="39"/>
        <v>F</v>
      </c>
      <c r="BE69" s="209" t="str">
        <f t="shared" si="39"/>
        <v>F</v>
      </c>
      <c r="BF69" s="208" t="str">
        <f t="shared" si="39"/>
        <v>F</v>
      </c>
      <c r="BG69" s="208" t="str">
        <f t="shared" si="39"/>
        <v>F</v>
      </c>
      <c r="BH69" s="208" t="str">
        <f t="shared" si="39"/>
        <v>F</v>
      </c>
      <c r="BI69" s="208" t="str">
        <f t="shared" si="39"/>
        <v>F</v>
      </c>
      <c r="BJ69" s="208" t="str">
        <f t="shared" si="39"/>
        <v>F</v>
      </c>
      <c r="BK69" s="208" t="str">
        <f t="shared" si="39"/>
        <v>F</v>
      </c>
      <c r="BL69" s="208" t="str">
        <f t="shared" si="39"/>
        <v>F</v>
      </c>
      <c r="BM69" s="208" t="str">
        <f t="shared" si="39"/>
        <v>F</v>
      </c>
      <c r="BN69" s="208" t="str">
        <f t="shared" si="39"/>
        <v>F</v>
      </c>
      <c r="BO69" s="209" t="str">
        <f t="shared" si="39"/>
        <v>F</v>
      </c>
      <c r="BP69" s="208" t="str">
        <f t="shared" si="39"/>
        <v>F</v>
      </c>
      <c r="BQ69" s="208" t="str">
        <f t="shared" si="39"/>
        <v>F</v>
      </c>
      <c r="BR69" s="208" t="str">
        <f t="shared" si="39"/>
        <v>F</v>
      </c>
      <c r="BS69" s="208" t="str">
        <f t="shared" si="37"/>
        <v>F</v>
      </c>
      <c r="BT69" s="208" t="str">
        <f t="shared" si="37"/>
        <v>F</v>
      </c>
      <c r="BU69" s="208" t="str">
        <f t="shared" si="37"/>
        <v>F</v>
      </c>
      <c r="BV69" s="208" t="str">
        <f t="shared" si="37"/>
        <v>F</v>
      </c>
      <c r="BW69" s="208" t="str">
        <f t="shared" si="37"/>
        <v>F</v>
      </c>
      <c r="BX69" s="208" t="str">
        <f t="shared" si="37"/>
        <v>F</v>
      </c>
      <c r="BY69" s="209" t="str">
        <f t="shared" si="37"/>
        <v>F</v>
      </c>
      <c r="BZ69" s="208" t="str">
        <f t="shared" si="37"/>
        <v>F</v>
      </c>
      <c r="CA69" s="208" t="str">
        <f t="shared" si="37"/>
        <v>F</v>
      </c>
      <c r="CB69" s="208" t="str">
        <f t="shared" si="37"/>
        <v>F</v>
      </c>
      <c r="CC69" s="208" t="str">
        <f t="shared" si="37"/>
        <v>F</v>
      </c>
      <c r="CD69" s="208" t="str">
        <f t="shared" si="37"/>
        <v>F</v>
      </c>
      <c r="CE69" s="208" t="str">
        <f t="shared" si="37"/>
        <v>F</v>
      </c>
      <c r="CF69" s="208" t="str">
        <f t="shared" si="37"/>
        <v>F</v>
      </c>
      <c r="CG69" s="208" t="str">
        <f t="shared" si="37"/>
        <v>F</v>
      </c>
      <c r="CH69" s="208" t="str">
        <f t="shared" si="37"/>
        <v>F</v>
      </c>
      <c r="CI69" s="209" t="str">
        <f t="shared" si="37"/>
        <v>F</v>
      </c>
      <c r="CJ69" s="208" t="str">
        <f t="shared" si="37"/>
        <v>F</v>
      </c>
      <c r="CK69" s="208" t="str">
        <f t="shared" si="37"/>
        <v>F</v>
      </c>
      <c r="CL69" s="208" t="str">
        <f t="shared" si="37"/>
        <v>F</v>
      </c>
      <c r="CM69" s="208" t="str">
        <f t="shared" si="37"/>
        <v>F</v>
      </c>
      <c r="CN69" s="208" t="str">
        <f t="shared" si="37"/>
        <v>F</v>
      </c>
      <c r="CO69" s="208" t="str">
        <f t="shared" si="37"/>
        <v>F</v>
      </c>
      <c r="CP69" s="208" t="str">
        <f t="shared" si="37"/>
        <v>F</v>
      </c>
      <c r="CQ69" s="208" t="str">
        <f t="shared" si="37"/>
        <v>F</v>
      </c>
      <c r="CR69" s="208" t="str">
        <f t="shared" si="37"/>
        <v>F</v>
      </c>
      <c r="CS69" s="209" t="str">
        <f t="shared" si="37"/>
        <v>F</v>
      </c>
      <c r="CT69" s="208" t="str">
        <f t="shared" si="37"/>
        <v>F</v>
      </c>
      <c r="CU69" s="208" t="str">
        <f t="shared" si="37"/>
        <v>F</v>
      </c>
      <c r="CV69" s="208" t="str">
        <f t="shared" si="37"/>
        <v>F</v>
      </c>
      <c r="CW69" s="208" t="str">
        <f t="shared" si="37"/>
        <v>F</v>
      </c>
      <c r="CX69" s="208" t="str">
        <f t="shared" si="37"/>
        <v>F</v>
      </c>
      <c r="CY69" s="208" t="str">
        <f t="shared" si="37"/>
        <v>F</v>
      </c>
      <c r="CZ69" s="208" t="str">
        <f t="shared" si="37"/>
        <v>F</v>
      </c>
      <c r="DA69" s="208" t="str">
        <f t="shared" si="37"/>
        <v>F</v>
      </c>
      <c r="DB69" s="208" t="str">
        <f t="shared" si="37"/>
        <v>F</v>
      </c>
      <c r="DC69" s="210" t="str">
        <f t="shared" si="37"/>
        <v>F</v>
      </c>
    </row>
    <row r="70" spans="2:111" x14ac:dyDescent="0.2">
      <c r="B70" s="205"/>
      <c r="C70" s="881"/>
      <c r="D70" s="206"/>
      <c r="E70" s="247"/>
      <c r="F70" s="207"/>
      <c r="G70" s="220"/>
      <c r="H70" s="221"/>
      <c r="I70" s="221"/>
      <c r="J70" s="221"/>
      <c r="K70" s="221"/>
      <c r="L70" s="221"/>
      <c r="M70" s="221"/>
      <c r="N70" s="221"/>
      <c r="O70" s="221"/>
      <c r="P70" s="221"/>
      <c r="Q70" s="222"/>
      <c r="R70" s="221"/>
      <c r="S70" s="221"/>
      <c r="T70" s="221"/>
      <c r="U70" s="221"/>
      <c r="V70" s="221"/>
      <c r="W70" s="221"/>
      <c r="X70" s="221"/>
      <c r="Y70" s="221"/>
      <c r="Z70" s="221"/>
      <c r="AA70" s="222"/>
      <c r="AB70" s="221"/>
      <c r="AC70" s="221"/>
      <c r="AD70" s="221"/>
      <c r="AE70" s="221"/>
      <c r="AF70" s="221"/>
      <c r="AG70" s="221"/>
      <c r="AH70" s="221"/>
      <c r="AI70" s="221"/>
      <c r="AJ70" s="221"/>
      <c r="AK70" s="222"/>
      <c r="AL70" s="221"/>
      <c r="AM70" s="221"/>
      <c r="AN70" s="221"/>
      <c r="AO70" s="221"/>
      <c r="AP70" s="221"/>
      <c r="AQ70" s="221"/>
      <c r="AR70" s="221"/>
      <c r="AS70" s="221"/>
      <c r="AT70" s="221"/>
      <c r="AU70" s="222"/>
      <c r="AV70" s="221"/>
      <c r="AW70" s="221"/>
      <c r="AX70" s="221"/>
      <c r="AY70" s="221"/>
      <c r="AZ70" s="221"/>
      <c r="BA70" s="221"/>
      <c r="BB70" s="221"/>
      <c r="BC70" s="221"/>
      <c r="BD70" s="221"/>
      <c r="BE70" s="222"/>
      <c r="BF70" s="221"/>
      <c r="BG70" s="221"/>
      <c r="BH70" s="221"/>
      <c r="BI70" s="221"/>
      <c r="BJ70" s="221"/>
      <c r="BK70" s="221"/>
      <c r="BL70" s="221"/>
      <c r="BM70" s="221"/>
      <c r="BN70" s="221"/>
      <c r="BO70" s="222"/>
      <c r="BP70" s="221"/>
      <c r="BQ70" s="221"/>
      <c r="BR70" s="221"/>
      <c r="BS70" s="221"/>
      <c r="BT70" s="221"/>
      <c r="BU70" s="221"/>
      <c r="BV70" s="221"/>
      <c r="BW70" s="221"/>
      <c r="BX70" s="221"/>
      <c r="BY70" s="222"/>
      <c r="BZ70" s="221"/>
      <c r="CA70" s="221"/>
      <c r="CB70" s="221"/>
      <c r="CC70" s="221"/>
      <c r="CD70" s="221"/>
      <c r="CE70" s="221"/>
      <c r="CF70" s="221"/>
      <c r="CG70" s="221"/>
      <c r="CH70" s="221"/>
      <c r="CI70" s="222"/>
      <c r="CJ70" s="221"/>
      <c r="CK70" s="221"/>
      <c r="CL70" s="221"/>
      <c r="CM70" s="221"/>
      <c r="CN70" s="221"/>
      <c r="CO70" s="221"/>
      <c r="CP70" s="221"/>
      <c r="CQ70" s="221"/>
      <c r="CR70" s="221"/>
      <c r="CS70" s="222"/>
      <c r="CT70" s="221"/>
      <c r="CU70" s="221"/>
      <c r="CV70" s="221"/>
      <c r="CW70" s="221"/>
      <c r="CX70" s="221"/>
      <c r="CY70" s="221"/>
      <c r="CZ70" s="221"/>
      <c r="DA70" s="221"/>
      <c r="DB70" s="221"/>
      <c r="DC70" s="223"/>
    </row>
    <row r="71" spans="2:111" x14ac:dyDescent="0.2">
      <c r="B71" s="205"/>
      <c r="C71" s="881"/>
      <c r="D71" s="206" t="str">
        <f>'Technologies Matrix'!B52</f>
        <v>Pond and Estuary Dredging</v>
      </c>
      <c r="E71" s="247">
        <f>'Technologies Matrix'!S52</f>
        <v>80</v>
      </c>
      <c r="F71" s="207">
        <f>'Technologies Matrix'!T52</f>
        <v>95</v>
      </c>
      <c r="G71" s="209" t="str">
        <f t="shared" ref="G71:BR71" si="40">IF(AND(G$3&gt;=$E71,G$3&lt;=$F71),"T","F")</f>
        <v>F</v>
      </c>
      <c r="H71" s="208" t="str">
        <f t="shared" si="40"/>
        <v>F</v>
      </c>
      <c r="I71" s="208" t="str">
        <f t="shared" si="40"/>
        <v>F</v>
      </c>
      <c r="J71" s="208" t="str">
        <f t="shared" si="40"/>
        <v>F</v>
      </c>
      <c r="K71" s="208" t="str">
        <f t="shared" si="40"/>
        <v>F</v>
      </c>
      <c r="L71" s="208" t="str">
        <f t="shared" si="40"/>
        <v>F</v>
      </c>
      <c r="M71" s="208" t="str">
        <f t="shared" si="40"/>
        <v>F</v>
      </c>
      <c r="N71" s="208" t="str">
        <f t="shared" si="40"/>
        <v>F</v>
      </c>
      <c r="O71" s="208" t="str">
        <f t="shared" si="40"/>
        <v>F</v>
      </c>
      <c r="P71" s="208" t="str">
        <f t="shared" si="40"/>
        <v>F</v>
      </c>
      <c r="Q71" s="209" t="str">
        <f t="shared" si="40"/>
        <v>F</v>
      </c>
      <c r="R71" s="208" t="str">
        <f t="shared" si="40"/>
        <v>F</v>
      </c>
      <c r="S71" s="208" t="str">
        <f t="shared" si="40"/>
        <v>F</v>
      </c>
      <c r="T71" s="208" t="str">
        <f t="shared" si="40"/>
        <v>F</v>
      </c>
      <c r="U71" s="208" t="str">
        <f t="shared" si="40"/>
        <v>F</v>
      </c>
      <c r="V71" s="208" t="str">
        <f t="shared" si="40"/>
        <v>F</v>
      </c>
      <c r="W71" s="208" t="str">
        <f t="shared" si="40"/>
        <v>F</v>
      </c>
      <c r="X71" s="208" t="str">
        <f t="shared" si="40"/>
        <v>F</v>
      </c>
      <c r="Y71" s="208" t="str">
        <f t="shared" si="40"/>
        <v>F</v>
      </c>
      <c r="Z71" s="208" t="str">
        <f t="shared" si="40"/>
        <v>F</v>
      </c>
      <c r="AA71" s="209" t="str">
        <f t="shared" si="40"/>
        <v>F</v>
      </c>
      <c r="AB71" s="208" t="str">
        <f t="shared" si="40"/>
        <v>F</v>
      </c>
      <c r="AC71" s="208" t="str">
        <f t="shared" si="40"/>
        <v>F</v>
      </c>
      <c r="AD71" s="208" t="str">
        <f t="shared" si="40"/>
        <v>F</v>
      </c>
      <c r="AE71" s="208" t="str">
        <f t="shared" si="40"/>
        <v>F</v>
      </c>
      <c r="AF71" s="208" t="str">
        <f t="shared" si="40"/>
        <v>F</v>
      </c>
      <c r="AG71" s="208" t="str">
        <f t="shared" si="40"/>
        <v>F</v>
      </c>
      <c r="AH71" s="208" t="str">
        <f t="shared" si="40"/>
        <v>F</v>
      </c>
      <c r="AI71" s="208" t="str">
        <f t="shared" si="40"/>
        <v>F</v>
      </c>
      <c r="AJ71" s="208" t="str">
        <f t="shared" si="40"/>
        <v>F</v>
      </c>
      <c r="AK71" s="209" t="str">
        <f t="shared" si="40"/>
        <v>F</v>
      </c>
      <c r="AL71" s="208" t="str">
        <f t="shared" si="40"/>
        <v>F</v>
      </c>
      <c r="AM71" s="208" t="str">
        <f t="shared" si="40"/>
        <v>F</v>
      </c>
      <c r="AN71" s="208" t="str">
        <f t="shared" si="40"/>
        <v>F</v>
      </c>
      <c r="AO71" s="208" t="str">
        <f t="shared" si="40"/>
        <v>F</v>
      </c>
      <c r="AP71" s="208" t="str">
        <f t="shared" si="40"/>
        <v>F</v>
      </c>
      <c r="AQ71" s="208" t="str">
        <f t="shared" si="40"/>
        <v>F</v>
      </c>
      <c r="AR71" s="208" t="str">
        <f t="shared" si="40"/>
        <v>F</v>
      </c>
      <c r="AS71" s="208" t="str">
        <f t="shared" si="40"/>
        <v>F</v>
      </c>
      <c r="AT71" s="208" t="str">
        <f t="shared" si="40"/>
        <v>F</v>
      </c>
      <c r="AU71" s="209" t="str">
        <f t="shared" si="40"/>
        <v>F</v>
      </c>
      <c r="AV71" s="208" t="str">
        <f t="shared" si="40"/>
        <v>F</v>
      </c>
      <c r="AW71" s="208" t="str">
        <f t="shared" si="40"/>
        <v>F</v>
      </c>
      <c r="AX71" s="208" t="str">
        <f t="shared" si="40"/>
        <v>F</v>
      </c>
      <c r="AY71" s="208" t="str">
        <f t="shared" si="40"/>
        <v>F</v>
      </c>
      <c r="AZ71" s="208" t="str">
        <f t="shared" si="40"/>
        <v>F</v>
      </c>
      <c r="BA71" s="208" t="str">
        <f t="shared" si="40"/>
        <v>F</v>
      </c>
      <c r="BB71" s="208" t="str">
        <f t="shared" si="40"/>
        <v>F</v>
      </c>
      <c r="BC71" s="208" t="str">
        <f t="shared" si="40"/>
        <v>F</v>
      </c>
      <c r="BD71" s="208" t="str">
        <f t="shared" si="40"/>
        <v>F</v>
      </c>
      <c r="BE71" s="209" t="str">
        <f t="shared" si="40"/>
        <v>F</v>
      </c>
      <c r="BF71" s="208" t="str">
        <f t="shared" si="40"/>
        <v>F</v>
      </c>
      <c r="BG71" s="208" t="str">
        <f t="shared" si="40"/>
        <v>F</v>
      </c>
      <c r="BH71" s="208" t="str">
        <f t="shared" si="40"/>
        <v>F</v>
      </c>
      <c r="BI71" s="208" t="str">
        <f t="shared" si="40"/>
        <v>F</v>
      </c>
      <c r="BJ71" s="208" t="str">
        <f t="shared" si="40"/>
        <v>F</v>
      </c>
      <c r="BK71" s="208" t="str">
        <f t="shared" si="40"/>
        <v>F</v>
      </c>
      <c r="BL71" s="208" t="str">
        <f t="shared" si="40"/>
        <v>F</v>
      </c>
      <c r="BM71" s="208" t="str">
        <f t="shared" si="40"/>
        <v>F</v>
      </c>
      <c r="BN71" s="208" t="str">
        <f t="shared" si="40"/>
        <v>F</v>
      </c>
      <c r="BO71" s="209" t="str">
        <f t="shared" si="40"/>
        <v>F</v>
      </c>
      <c r="BP71" s="208" t="str">
        <f t="shared" si="40"/>
        <v>F</v>
      </c>
      <c r="BQ71" s="208" t="str">
        <f t="shared" si="40"/>
        <v>F</v>
      </c>
      <c r="BR71" s="208" t="str">
        <f t="shared" si="40"/>
        <v>F</v>
      </c>
      <c r="BS71" s="208" t="str">
        <f t="shared" si="37"/>
        <v>F</v>
      </c>
      <c r="BT71" s="208" t="str">
        <f t="shared" si="37"/>
        <v>F</v>
      </c>
      <c r="BU71" s="208" t="str">
        <f t="shared" si="37"/>
        <v>F</v>
      </c>
      <c r="BV71" s="208" t="str">
        <f t="shared" si="37"/>
        <v>F</v>
      </c>
      <c r="BW71" s="208" t="str">
        <f t="shared" si="37"/>
        <v>F</v>
      </c>
      <c r="BX71" s="208" t="str">
        <f t="shared" si="37"/>
        <v>F</v>
      </c>
      <c r="BY71" s="209" t="str">
        <f t="shared" si="37"/>
        <v>F</v>
      </c>
      <c r="BZ71" s="208" t="str">
        <f t="shared" si="37"/>
        <v>F</v>
      </c>
      <c r="CA71" s="208" t="str">
        <f t="shared" si="37"/>
        <v>F</v>
      </c>
      <c r="CB71" s="208" t="str">
        <f t="shared" si="37"/>
        <v>F</v>
      </c>
      <c r="CC71" s="208" t="str">
        <f t="shared" si="37"/>
        <v>F</v>
      </c>
      <c r="CD71" s="208" t="str">
        <f t="shared" si="37"/>
        <v>F</v>
      </c>
      <c r="CE71" s="208" t="str">
        <f t="shared" si="37"/>
        <v>F</v>
      </c>
      <c r="CF71" s="208" t="str">
        <f t="shared" si="37"/>
        <v>F</v>
      </c>
      <c r="CG71" s="208" t="str">
        <f t="shared" si="37"/>
        <v>F</v>
      </c>
      <c r="CH71" s="208" t="str">
        <f t="shared" si="37"/>
        <v>F</v>
      </c>
      <c r="CI71" s="209" t="str">
        <f t="shared" si="37"/>
        <v>T</v>
      </c>
      <c r="CJ71" s="208" t="str">
        <f t="shared" si="37"/>
        <v>T</v>
      </c>
      <c r="CK71" s="208" t="str">
        <f t="shared" si="37"/>
        <v>T</v>
      </c>
      <c r="CL71" s="208" t="str">
        <f t="shared" si="37"/>
        <v>T</v>
      </c>
      <c r="CM71" s="208" t="str">
        <f t="shared" si="37"/>
        <v>T</v>
      </c>
      <c r="CN71" s="208" t="str">
        <f t="shared" si="37"/>
        <v>T</v>
      </c>
      <c r="CO71" s="208" t="str">
        <f t="shared" si="37"/>
        <v>T</v>
      </c>
      <c r="CP71" s="208" t="str">
        <f t="shared" si="37"/>
        <v>T</v>
      </c>
      <c r="CQ71" s="208" t="str">
        <f t="shared" si="37"/>
        <v>T</v>
      </c>
      <c r="CR71" s="208" t="str">
        <f t="shared" si="37"/>
        <v>T</v>
      </c>
      <c r="CS71" s="209" t="str">
        <f t="shared" si="37"/>
        <v>T</v>
      </c>
      <c r="CT71" s="208" t="str">
        <f t="shared" si="37"/>
        <v>T</v>
      </c>
      <c r="CU71" s="208" t="str">
        <f t="shared" si="37"/>
        <v>T</v>
      </c>
      <c r="CV71" s="208" t="str">
        <f t="shared" si="37"/>
        <v>T</v>
      </c>
      <c r="CW71" s="208" t="str">
        <f t="shared" si="37"/>
        <v>T</v>
      </c>
      <c r="CX71" s="208" t="str">
        <f t="shared" si="37"/>
        <v>T</v>
      </c>
      <c r="CY71" s="208" t="str">
        <f t="shared" si="37"/>
        <v>F</v>
      </c>
      <c r="CZ71" s="208" t="str">
        <f>IF(AND(CZ$3&gt;=$E71,CZ$3&lt;=$F71),"T","F")</f>
        <v>F</v>
      </c>
      <c r="DA71" s="208" t="str">
        <f>IF(AND(DA$3&gt;=$E71,DA$3&lt;=$F71),"T","F")</f>
        <v>F</v>
      </c>
      <c r="DB71" s="208" t="str">
        <f>IF(AND(DB$3&gt;=$E71,DB$3&lt;=$F71),"T","F")</f>
        <v>F</v>
      </c>
      <c r="DC71" s="210" t="str">
        <f>IF(AND(DC$3&gt;=$E71,DC$3&lt;=$F71),"T","F")</f>
        <v>F</v>
      </c>
    </row>
    <row r="72" spans="2:111" s="214" customFormat="1" x14ac:dyDescent="0.2">
      <c r="B72" s="215"/>
      <c r="C72" s="226"/>
      <c r="D72" s="206"/>
      <c r="E72" s="247"/>
      <c r="F72" s="207"/>
      <c r="G72" s="220"/>
      <c r="H72" s="221"/>
      <c r="I72" s="221"/>
      <c r="J72" s="221"/>
      <c r="K72" s="221"/>
      <c r="L72" s="221"/>
      <c r="M72" s="221"/>
      <c r="N72" s="221"/>
      <c r="O72" s="221"/>
      <c r="P72" s="221"/>
      <c r="Q72" s="222"/>
      <c r="R72" s="221"/>
      <c r="S72" s="221"/>
      <c r="T72" s="221"/>
      <c r="U72" s="221"/>
      <c r="V72" s="221"/>
      <c r="W72" s="221"/>
      <c r="X72" s="221"/>
      <c r="Y72" s="221"/>
      <c r="Z72" s="221"/>
      <c r="AA72" s="222"/>
      <c r="AB72" s="221"/>
      <c r="AC72" s="221"/>
      <c r="AD72" s="221"/>
      <c r="AE72" s="221"/>
      <c r="AF72" s="221"/>
      <c r="AG72" s="221"/>
      <c r="AH72" s="221"/>
      <c r="AI72" s="221"/>
      <c r="AJ72" s="221"/>
      <c r="AK72" s="222"/>
      <c r="AL72" s="221"/>
      <c r="AM72" s="221"/>
      <c r="AN72" s="221"/>
      <c r="AO72" s="221"/>
      <c r="AP72" s="221"/>
      <c r="AQ72" s="221"/>
      <c r="AR72" s="221"/>
      <c r="AS72" s="221"/>
      <c r="AT72" s="221"/>
      <c r="AU72" s="222"/>
      <c r="AV72" s="221"/>
      <c r="AW72" s="221"/>
      <c r="AX72" s="221"/>
      <c r="AY72" s="221"/>
      <c r="AZ72" s="221"/>
      <c r="BA72" s="221"/>
      <c r="BB72" s="221"/>
      <c r="BC72" s="221"/>
      <c r="BD72" s="221"/>
      <c r="BE72" s="222"/>
      <c r="BF72" s="221"/>
      <c r="BG72" s="221"/>
      <c r="BH72" s="221"/>
      <c r="BI72" s="221"/>
      <c r="BJ72" s="221"/>
      <c r="BK72" s="221"/>
      <c r="BL72" s="221"/>
      <c r="BM72" s="221"/>
      <c r="BN72" s="221"/>
      <c r="BO72" s="222"/>
      <c r="BP72" s="221"/>
      <c r="BQ72" s="221"/>
      <c r="BR72" s="221"/>
      <c r="BS72" s="221"/>
      <c r="BT72" s="221"/>
      <c r="BU72" s="221"/>
      <c r="BV72" s="221"/>
      <c r="BW72" s="221"/>
      <c r="BX72" s="221"/>
      <c r="BY72" s="222"/>
      <c r="BZ72" s="221"/>
      <c r="CA72" s="221"/>
      <c r="CB72" s="221"/>
      <c r="CC72" s="221"/>
      <c r="CD72" s="221"/>
      <c r="CE72" s="221"/>
      <c r="CF72" s="221"/>
      <c r="CG72" s="221"/>
      <c r="CH72" s="221"/>
      <c r="CI72" s="222"/>
      <c r="CJ72" s="221"/>
      <c r="CK72" s="221"/>
      <c r="CL72" s="221"/>
      <c r="CM72" s="221"/>
      <c r="CN72" s="221"/>
      <c r="CO72" s="221"/>
      <c r="CP72" s="221"/>
      <c r="CQ72" s="221"/>
      <c r="CR72" s="221"/>
      <c r="CS72" s="222"/>
      <c r="CT72" s="221"/>
      <c r="CU72" s="221"/>
      <c r="CV72" s="221"/>
      <c r="CW72" s="221"/>
      <c r="CX72" s="221"/>
      <c r="CY72" s="221"/>
      <c r="CZ72" s="221"/>
      <c r="DA72" s="221"/>
      <c r="DB72" s="221"/>
      <c r="DC72" s="223"/>
      <c r="DD72" s="227"/>
      <c r="DE72" s="227"/>
      <c r="DF72" s="227"/>
      <c r="DG72" s="227"/>
    </row>
    <row r="73" spans="2:111" ht="12.75" customHeight="1" x14ac:dyDescent="0.2">
      <c r="B73" s="205"/>
      <c r="C73" s="879" t="str">
        <f>'Technologies Matrix'!A53</f>
        <v>On-Site Treatment Systems</v>
      </c>
      <c r="D73" s="206" t="s">
        <v>552</v>
      </c>
      <c r="E73" s="247">
        <f>'Technologies Matrix'!S53</f>
        <v>0</v>
      </c>
      <c r="F73" s="207">
        <f>'Technologies Matrix'!T53</f>
        <v>0</v>
      </c>
      <c r="G73" s="209" t="str">
        <f>IF(AND(G$3&gt;=$E73,G$3&lt;=$F73),"T","F")</f>
        <v>T</v>
      </c>
      <c r="H73" s="208" t="str">
        <f t="shared" ref="H73:BR73" si="41">IF(AND(H$3&gt;=$E73,H$3&lt;=$F73),"T","F")</f>
        <v>F</v>
      </c>
      <c r="I73" s="208" t="str">
        <f t="shared" si="41"/>
        <v>F</v>
      </c>
      <c r="J73" s="208" t="str">
        <f t="shared" si="41"/>
        <v>F</v>
      </c>
      <c r="K73" s="208" t="str">
        <f t="shared" si="41"/>
        <v>F</v>
      </c>
      <c r="L73" s="208" t="str">
        <f t="shared" si="41"/>
        <v>F</v>
      </c>
      <c r="M73" s="208" t="str">
        <f t="shared" si="41"/>
        <v>F</v>
      </c>
      <c r="N73" s="208" t="str">
        <f t="shared" si="41"/>
        <v>F</v>
      </c>
      <c r="O73" s="208" t="str">
        <f t="shared" si="41"/>
        <v>F</v>
      </c>
      <c r="P73" s="208" t="str">
        <f t="shared" si="41"/>
        <v>F</v>
      </c>
      <c r="Q73" s="209" t="str">
        <f t="shared" si="41"/>
        <v>F</v>
      </c>
      <c r="R73" s="208" t="str">
        <f t="shared" si="41"/>
        <v>F</v>
      </c>
      <c r="S73" s="208" t="str">
        <f t="shared" si="41"/>
        <v>F</v>
      </c>
      <c r="T73" s="208" t="str">
        <f t="shared" si="41"/>
        <v>F</v>
      </c>
      <c r="U73" s="208" t="str">
        <f t="shared" si="41"/>
        <v>F</v>
      </c>
      <c r="V73" s="208" t="str">
        <f t="shared" si="41"/>
        <v>F</v>
      </c>
      <c r="W73" s="208" t="str">
        <f t="shared" si="41"/>
        <v>F</v>
      </c>
      <c r="X73" s="208" t="str">
        <f t="shared" si="41"/>
        <v>F</v>
      </c>
      <c r="Y73" s="208" t="str">
        <f t="shared" si="41"/>
        <v>F</v>
      </c>
      <c r="Z73" s="208" t="str">
        <f t="shared" si="41"/>
        <v>F</v>
      </c>
      <c r="AA73" s="209" t="str">
        <f t="shared" si="41"/>
        <v>F</v>
      </c>
      <c r="AB73" s="208" t="str">
        <f t="shared" si="41"/>
        <v>F</v>
      </c>
      <c r="AC73" s="208" t="str">
        <f t="shared" si="41"/>
        <v>F</v>
      </c>
      <c r="AD73" s="208" t="str">
        <f t="shared" si="41"/>
        <v>F</v>
      </c>
      <c r="AE73" s="208" t="str">
        <f t="shared" si="41"/>
        <v>F</v>
      </c>
      <c r="AF73" s="208" t="str">
        <f t="shared" si="41"/>
        <v>F</v>
      </c>
      <c r="AG73" s="208" t="str">
        <f t="shared" si="41"/>
        <v>F</v>
      </c>
      <c r="AH73" s="208" t="str">
        <f t="shared" si="41"/>
        <v>F</v>
      </c>
      <c r="AI73" s="208" t="str">
        <f t="shared" si="41"/>
        <v>F</v>
      </c>
      <c r="AJ73" s="208" t="str">
        <f t="shared" si="41"/>
        <v>F</v>
      </c>
      <c r="AK73" s="209" t="str">
        <f t="shared" si="41"/>
        <v>F</v>
      </c>
      <c r="AL73" s="208" t="str">
        <f t="shared" si="41"/>
        <v>F</v>
      </c>
      <c r="AM73" s="208" t="str">
        <f t="shared" si="41"/>
        <v>F</v>
      </c>
      <c r="AN73" s="208" t="str">
        <f t="shared" si="41"/>
        <v>F</v>
      </c>
      <c r="AO73" s="208" t="str">
        <f t="shared" si="41"/>
        <v>F</v>
      </c>
      <c r="AP73" s="249" t="str">
        <f t="shared" si="41"/>
        <v>F</v>
      </c>
      <c r="AQ73" s="208" t="str">
        <f t="shared" si="41"/>
        <v>F</v>
      </c>
      <c r="AR73" s="208" t="str">
        <f t="shared" si="41"/>
        <v>F</v>
      </c>
      <c r="AS73" s="208" t="str">
        <f t="shared" si="41"/>
        <v>F</v>
      </c>
      <c r="AT73" s="208" t="str">
        <f t="shared" si="41"/>
        <v>F</v>
      </c>
      <c r="AU73" s="209" t="str">
        <f t="shared" si="41"/>
        <v>F</v>
      </c>
      <c r="AV73" s="208" t="str">
        <f t="shared" si="41"/>
        <v>F</v>
      </c>
      <c r="AW73" s="208" t="str">
        <f t="shared" si="41"/>
        <v>F</v>
      </c>
      <c r="AX73" s="208" t="str">
        <f t="shared" si="41"/>
        <v>F</v>
      </c>
      <c r="AY73" s="208" t="str">
        <f t="shared" si="41"/>
        <v>F</v>
      </c>
      <c r="AZ73" s="208" t="str">
        <f t="shared" si="41"/>
        <v>F</v>
      </c>
      <c r="BA73" s="208" t="str">
        <f t="shared" si="41"/>
        <v>F</v>
      </c>
      <c r="BB73" s="208" t="str">
        <f t="shared" si="41"/>
        <v>F</v>
      </c>
      <c r="BC73" s="208" t="str">
        <f t="shared" si="41"/>
        <v>F</v>
      </c>
      <c r="BD73" s="208" t="str">
        <f t="shared" si="41"/>
        <v>F</v>
      </c>
      <c r="BE73" s="209" t="str">
        <f t="shared" si="41"/>
        <v>F</v>
      </c>
      <c r="BF73" s="208" t="str">
        <f t="shared" si="41"/>
        <v>F</v>
      </c>
      <c r="BG73" s="208" t="str">
        <f t="shared" si="41"/>
        <v>F</v>
      </c>
      <c r="BH73" s="208" t="str">
        <f t="shared" si="41"/>
        <v>F</v>
      </c>
      <c r="BI73" s="208" t="str">
        <f t="shared" si="41"/>
        <v>F</v>
      </c>
      <c r="BJ73" s="208" t="str">
        <f t="shared" si="41"/>
        <v>F</v>
      </c>
      <c r="BK73" s="208" t="str">
        <f t="shared" si="41"/>
        <v>F</v>
      </c>
      <c r="BL73" s="208" t="str">
        <f t="shared" si="41"/>
        <v>F</v>
      </c>
      <c r="BM73" s="208" t="str">
        <f t="shared" si="41"/>
        <v>F</v>
      </c>
      <c r="BN73" s="208" t="str">
        <f t="shared" si="41"/>
        <v>F</v>
      </c>
      <c r="BO73" s="209" t="str">
        <f t="shared" si="41"/>
        <v>F</v>
      </c>
      <c r="BP73" s="208" t="str">
        <f t="shared" si="41"/>
        <v>F</v>
      </c>
      <c r="BQ73" s="208" t="str">
        <f t="shared" si="41"/>
        <v>F</v>
      </c>
      <c r="BR73" s="208" t="str">
        <f t="shared" si="41"/>
        <v>F</v>
      </c>
      <c r="BS73" s="208" t="str">
        <f t="shared" ref="BS73:DC73" si="42">IF(AND(BS$3&gt;=$E73,BS$3&lt;=$F73),"T","F")</f>
        <v>F</v>
      </c>
      <c r="BT73" s="208" t="str">
        <f t="shared" si="42"/>
        <v>F</v>
      </c>
      <c r="BU73" s="208" t="str">
        <f t="shared" si="42"/>
        <v>F</v>
      </c>
      <c r="BV73" s="208" t="str">
        <f t="shared" si="42"/>
        <v>F</v>
      </c>
      <c r="BW73" s="208" t="str">
        <f t="shared" si="42"/>
        <v>F</v>
      </c>
      <c r="BX73" s="208" t="str">
        <f t="shared" si="42"/>
        <v>F</v>
      </c>
      <c r="BY73" s="209" t="str">
        <f t="shared" si="42"/>
        <v>F</v>
      </c>
      <c r="BZ73" s="208" t="str">
        <f t="shared" si="42"/>
        <v>F</v>
      </c>
      <c r="CA73" s="208" t="str">
        <f t="shared" si="42"/>
        <v>F</v>
      </c>
      <c r="CB73" s="208" t="str">
        <f t="shared" si="42"/>
        <v>F</v>
      </c>
      <c r="CC73" s="208" t="str">
        <f t="shared" si="42"/>
        <v>F</v>
      </c>
      <c r="CD73" s="208" t="str">
        <f t="shared" si="42"/>
        <v>F</v>
      </c>
      <c r="CE73" s="208" t="str">
        <f t="shared" si="42"/>
        <v>F</v>
      </c>
      <c r="CF73" s="208" t="str">
        <f t="shared" si="42"/>
        <v>F</v>
      </c>
      <c r="CG73" s="208" t="str">
        <f t="shared" si="42"/>
        <v>F</v>
      </c>
      <c r="CH73" s="208" t="str">
        <f t="shared" si="42"/>
        <v>F</v>
      </c>
      <c r="CI73" s="209" t="str">
        <f t="shared" si="42"/>
        <v>F</v>
      </c>
      <c r="CJ73" s="208" t="str">
        <f t="shared" si="42"/>
        <v>F</v>
      </c>
      <c r="CK73" s="208" t="str">
        <f t="shared" si="42"/>
        <v>F</v>
      </c>
      <c r="CL73" s="208" t="str">
        <f t="shared" si="42"/>
        <v>F</v>
      </c>
      <c r="CM73" s="208" t="str">
        <f t="shared" si="42"/>
        <v>F</v>
      </c>
      <c r="CN73" s="208" t="str">
        <f t="shared" si="42"/>
        <v>F</v>
      </c>
      <c r="CO73" s="208" t="str">
        <f t="shared" si="42"/>
        <v>F</v>
      </c>
      <c r="CP73" s="208" t="str">
        <f t="shared" si="42"/>
        <v>F</v>
      </c>
      <c r="CQ73" s="208" t="str">
        <f t="shared" si="42"/>
        <v>F</v>
      </c>
      <c r="CR73" s="208" t="str">
        <f t="shared" si="42"/>
        <v>F</v>
      </c>
      <c r="CS73" s="209" t="str">
        <f t="shared" si="42"/>
        <v>F</v>
      </c>
      <c r="CT73" s="208" t="str">
        <f t="shared" si="42"/>
        <v>F</v>
      </c>
      <c r="CU73" s="208" t="str">
        <f t="shared" si="42"/>
        <v>F</v>
      </c>
      <c r="CV73" s="208" t="str">
        <f t="shared" si="42"/>
        <v>F</v>
      </c>
      <c r="CW73" s="208" t="str">
        <f t="shared" si="42"/>
        <v>F</v>
      </c>
      <c r="CX73" s="208" t="str">
        <f t="shared" si="42"/>
        <v>F</v>
      </c>
      <c r="CY73" s="208" t="str">
        <f t="shared" si="42"/>
        <v>F</v>
      </c>
      <c r="CZ73" s="208" t="str">
        <f t="shared" si="42"/>
        <v>F</v>
      </c>
      <c r="DA73" s="208" t="str">
        <f t="shared" si="42"/>
        <v>F</v>
      </c>
      <c r="DB73" s="208" t="str">
        <f t="shared" si="42"/>
        <v>F</v>
      </c>
      <c r="DC73" s="210" t="str">
        <f t="shared" si="42"/>
        <v>F</v>
      </c>
    </row>
    <row r="74" spans="2:111" x14ac:dyDescent="0.2">
      <c r="B74" s="205"/>
      <c r="C74" s="879"/>
      <c r="D74" s="206"/>
      <c r="E74" s="247"/>
      <c r="F74" s="207"/>
      <c r="G74" s="220"/>
      <c r="H74" s="221"/>
      <c r="I74" s="221"/>
      <c r="J74" s="221"/>
      <c r="K74" s="221"/>
      <c r="L74" s="221"/>
      <c r="M74" s="221"/>
      <c r="N74" s="221"/>
      <c r="O74" s="221"/>
      <c r="P74" s="221"/>
      <c r="Q74" s="222"/>
      <c r="R74" s="221"/>
      <c r="S74" s="221"/>
      <c r="T74" s="221"/>
      <c r="U74" s="221"/>
      <c r="V74" s="221"/>
      <c r="W74" s="221"/>
      <c r="X74" s="221"/>
      <c r="Y74" s="221"/>
      <c r="Z74" s="221"/>
      <c r="AA74" s="222"/>
      <c r="AB74" s="221"/>
      <c r="AC74" s="221"/>
      <c r="AD74" s="221"/>
      <c r="AE74" s="221"/>
      <c r="AF74" s="221"/>
      <c r="AG74" s="221"/>
      <c r="AH74" s="221"/>
      <c r="AI74" s="221"/>
      <c r="AJ74" s="221"/>
      <c r="AK74" s="222"/>
      <c r="AL74" s="221"/>
      <c r="AM74" s="221"/>
      <c r="AN74" s="221"/>
      <c r="AO74" s="221"/>
      <c r="AP74" s="221"/>
      <c r="AQ74" s="221"/>
      <c r="AR74" s="221"/>
      <c r="AS74" s="221"/>
      <c r="AT74" s="221"/>
      <c r="AU74" s="222"/>
      <c r="AV74" s="221"/>
      <c r="AW74" s="221"/>
      <c r="AX74" s="221"/>
      <c r="AY74" s="221"/>
      <c r="AZ74" s="221"/>
      <c r="BA74" s="221"/>
      <c r="BB74" s="221"/>
      <c r="BC74" s="221"/>
      <c r="BD74" s="221"/>
      <c r="BE74" s="222"/>
      <c r="BF74" s="221"/>
      <c r="BG74" s="221"/>
      <c r="BH74" s="221"/>
      <c r="BI74" s="221"/>
      <c r="BJ74" s="221"/>
      <c r="BK74" s="221"/>
      <c r="BL74" s="221"/>
      <c r="BM74" s="221"/>
      <c r="BN74" s="221"/>
      <c r="BO74" s="222"/>
      <c r="BP74" s="221"/>
      <c r="BQ74" s="221"/>
      <c r="BR74" s="221"/>
      <c r="BS74" s="221"/>
      <c r="BT74" s="221"/>
      <c r="BU74" s="221"/>
      <c r="BV74" s="221"/>
      <c r="BW74" s="221"/>
      <c r="BX74" s="221"/>
      <c r="BY74" s="222"/>
      <c r="BZ74" s="221"/>
      <c r="CA74" s="221"/>
      <c r="CB74" s="221"/>
      <c r="CC74" s="221"/>
      <c r="CD74" s="221"/>
      <c r="CE74" s="221"/>
      <c r="CF74" s="221"/>
      <c r="CG74" s="221"/>
      <c r="CH74" s="221"/>
      <c r="CI74" s="222"/>
      <c r="CJ74" s="221"/>
      <c r="CK74" s="221"/>
      <c r="CL74" s="221"/>
      <c r="CM74" s="221"/>
      <c r="CN74" s="221"/>
      <c r="CO74" s="221"/>
      <c r="CP74" s="221"/>
      <c r="CQ74" s="221"/>
      <c r="CR74" s="221"/>
      <c r="CS74" s="222"/>
      <c r="CT74" s="221"/>
      <c r="CU74" s="221"/>
      <c r="CV74" s="221"/>
      <c r="CW74" s="221"/>
      <c r="CX74" s="221"/>
      <c r="CY74" s="221"/>
      <c r="CZ74" s="221"/>
      <c r="DA74" s="221"/>
      <c r="DB74" s="221"/>
      <c r="DC74" s="223"/>
    </row>
    <row r="75" spans="2:111" x14ac:dyDescent="0.2">
      <c r="B75" s="205"/>
      <c r="C75" s="879"/>
      <c r="D75" s="206" t="str">
        <f>'Technologies Matrix'!B54</f>
        <v>Innovative/Alternative (I/A) Systems</v>
      </c>
      <c r="E75" s="247">
        <f>'Technologies Matrix'!S54</f>
        <v>27.61904761904762</v>
      </c>
      <c r="F75" s="207">
        <f>'Technologies Matrix'!T54</f>
        <v>27.61904761904762</v>
      </c>
      <c r="G75" s="209" t="str">
        <f>IF(AND(G$3&gt;=$E75,G$3&lt;=$F75),"T","F")</f>
        <v>F</v>
      </c>
      <c r="H75" s="208" t="str">
        <f t="shared" ref="H75:BS75" si="43">IF(AND(H$3&gt;=$E75,H$3&lt;=$F75),"T","F")</f>
        <v>F</v>
      </c>
      <c r="I75" s="208" t="str">
        <f t="shared" si="43"/>
        <v>F</v>
      </c>
      <c r="J75" s="208" t="str">
        <f t="shared" si="43"/>
        <v>F</v>
      </c>
      <c r="K75" s="208" t="str">
        <f t="shared" si="43"/>
        <v>F</v>
      </c>
      <c r="L75" s="208" t="str">
        <f t="shared" si="43"/>
        <v>F</v>
      </c>
      <c r="M75" s="208" t="str">
        <f t="shared" si="43"/>
        <v>F</v>
      </c>
      <c r="N75" s="208" t="str">
        <f t="shared" si="43"/>
        <v>F</v>
      </c>
      <c r="O75" s="208" t="str">
        <f t="shared" si="43"/>
        <v>F</v>
      </c>
      <c r="P75" s="208" t="str">
        <f t="shared" si="43"/>
        <v>F</v>
      </c>
      <c r="Q75" s="209" t="str">
        <f t="shared" si="43"/>
        <v>F</v>
      </c>
      <c r="R75" s="208" t="str">
        <f t="shared" si="43"/>
        <v>F</v>
      </c>
      <c r="S75" s="208" t="str">
        <f t="shared" si="43"/>
        <v>F</v>
      </c>
      <c r="T75" s="208" t="str">
        <f t="shared" si="43"/>
        <v>F</v>
      </c>
      <c r="U75" s="208" t="str">
        <f t="shared" si="43"/>
        <v>F</v>
      </c>
      <c r="V75" s="208" t="str">
        <f t="shared" si="43"/>
        <v>F</v>
      </c>
      <c r="W75" s="208" t="str">
        <f t="shared" si="43"/>
        <v>F</v>
      </c>
      <c r="X75" s="208" t="str">
        <f t="shared" si="43"/>
        <v>F</v>
      </c>
      <c r="Y75" s="208" t="str">
        <f t="shared" si="43"/>
        <v>F</v>
      </c>
      <c r="Z75" s="208" t="str">
        <f t="shared" si="43"/>
        <v>F</v>
      </c>
      <c r="AA75" s="209" t="str">
        <f t="shared" si="43"/>
        <v>F</v>
      </c>
      <c r="AB75" s="208" t="str">
        <f t="shared" si="43"/>
        <v>F</v>
      </c>
      <c r="AC75" s="208" t="str">
        <f t="shared" si="43"/>
        <v>F</v>
      </c>
      <c r="AD75" s="208" t="str">
        <f t="shared" si="43"/>
        <v>F</v>
      </c>
      <c r="AE75" s="208" t="str">
        <f t="shared" si="43"/>
        <v>F</v>
      </c>
      <c r="AF75" s="208" t="str">
        <f t="shared" si="43"/>
        <v>F</v>
      </c>
      <c r="AG75" s="208" t="str">
        <f t="shared" si="43"/>
        <v>F</v>
      </c>
      <c r="AH75" s="208" t="str">
        <f t="shared" si="43"/>
        <v>F</v>
      </c>
      <c r="AI75" s="208" t="str">
        <f t="shared" si="43"/>
        <v>F</v>
      </c>
      <c r="AJ75" s="208" t="str">
        <f t="shared" si="43"/>
        <v>F</v>
      </c>
      <c r="AK75" s="209" t="str">
        <f t="shared" si="43"/>
        <v>F</v>
      </c>
      <c r="AL75" s="208" t="str">
        <f t="shared" si="43"/>
        <v>F</v>
      </c>
      <c r="AM75" s="208" t="str">
        <f t="shared" si="43"/>
        <v>F</v>
      </c>
      <c r="AN75" s="208" t="str">
        <f t="shared" si="43"/>
        <v>F</v>
      </c>
      <c r="AO75" s="208" t="str">
        <f t="shared" si="43"/>
        <v>F</v>
      </c>
      <c r="AP75" s="208" t="str">
        <f t="shared" si="43"/>
        <v>F</v>
      </c>
      <c r="AQ75" s="208" t="str">
        <f t="shared" si="43"/>
        <v>F</v>
      </c>
      <c r="AR75" s="208" t="str">
        <f t="shared" si="43"/>
        <v>F</v>
      </c>
      <c r="AS75" s="208" t="str">
        <f t="shared" si="43"/>
        <v>F</v>
      </c>
      <c r="AT75" s="208" t="str">
        <f t="shared" si="43"/>
        <v>F</v>
      </c>
      <c r="AU75" s="209" t="str">
        <f t="shared" si="43"/>
        <v>F</v>
      </c>
      <c r="AV75" s="208" t="str">
        <f t="shared" si="43"/>
        <v>F</v>
      </c>
      <c r="AW75" s="208" t="str">
        <f t="shared" si="43"/>
        <v>F</v>
      </c>
      <c r="AX75" s="208" t="str">
        <f t="shared" si="43"/>
        <v>F</v>
      </c>
      <c r="AY75" s="208" t="str">
        <f t="shared" si="43"/>
        <v>F</v>
      </c>
      <c r="AZ75" s="208" t="str">
        <f t="shared" si="43"/>
        <v>F</v>
      </c>
      <c r="BA75" s="208" t="str">
        <f t="shared" si="43"/>
        <v>F</v>
      </c>
      <c r="BB75" s="208" t="str">
        <f t="shared" si="43"/>
        <v>F</v>
      </c>
      <c r="BC75" s="208" t="str">
        <f t="shared" si="43"/>
        <v>F</v>
      </c>
      <c r="BD75" s="208" t="str">
        <f t="shared" si="43"/>
        <v>F</v>
      </c>
      <c r="BE75" s="209" t="str">
        <f t="shared" si="43"/>
        <v>F</v>
      </c>
      <c r="BF75" s="208" t="str">
        <f t="shared" si="43"/>
        <v>F</v>
      </c>
      <c r="BG75" s="208" t="str">
        <f t="shared" si="43"/>
        <v>F</v>
      </c>
      <c r="BH75" s="208" t="str">
        <f t="shared" si="43"/>
        <v>F</v>
      </c>
      <c r="BI75" s="208" t="str">
        <f t="shared" si="43"/>
        <v>F</v>
      </c>
      <c r="BJ75" s="208" t="str">
        <f t="shared" si="43"/>
        <v>F</v>
      </c>
      <c r="BK75" s="208" t="str">
        <f t="shared" si="43"/>
        <v>F</v>
      </c>
      <c r="BL75" s="208" t="str">
        <f t="shared" si="43"/>
        <v>F</v>
      </c>
      <c r="BM75" s="208" t="str">
        <f t="shared" si="43"/>
        <v>F</v>
      </c>
      <c r="BN75" s="208" t="str">
        <f t="shared" si="43"/>
        <v>F</v>
      </c>
      <c r="BO75" s="209" t="str">
        <f t="shared" si="43"/>
        <v>F</v>
      </c>
      <c r="BP75" s="208" t="str">
        <f t="shared" si="43"/>
        <v>F</v>
      </c>
      <c r="BQ75" s="208" t="str">
        <f t="shared" si="43"/>
        <v>F</v>
      </c>
      <c r="BR75" s="208" t="str">
        <f t="shared" si="43"/>
        <v>F</v>
      </c>
      <c r="BS75" s="208" t="str">
        <f t="shared" si="43"/>
        <v>F</v>
      </c>
      <c r="BT75" s="208" t="str">
        <f t="shared" ref="BT75:DC75" si="44">IF(AND(BT$3&gt;=$E75,BT$3&lt;=$F75),"T","F")</f>
        <v>F</v>
      </c>
      <c r="BU75" s="208" t="str">
        <f t="shared" si="44"/>
        <v>F</v>
      </c>
      <c r="BV75" s="208" t="str">
        <f t="shared" si="44"/>
        <v>F</v>
      </c>
      <c r="BW75" s="208" t="str">
        <f t="shared" si="44"/>
        <v>F</v>
      </c>
      <c r="BX75" s="208" t="str">
        <f t="shared" si="44"/>
        <v>F</v>
      </c>
      <c r="BY75" s="209" t="str">
        <f t="shared" si="44"/>
        <v>F</v>
      </c>
      <c r="BZ75" s="208" t="str">
        <f t="shared" si="44"/>
        <v>F</v>
      </c>
      <c r="CA75" s="208" t="str">
        <f t="shared" si="44"/>
        <v>F</v>
      </c>
      <c r="CB75" s="208" t="str">
        <f t="shared" si="44"/>
        <v>F</v>
      </c>
      <c r="CC75" s="208" t="str">
        <f t="shared" si="44"/>
        <v>F</v>
      </c>
      <c r="CD75" s="208" t="str">
        <f t="shared" si="44"/>
        <v>F</v>
      </c>
      <c r="CE75" s="208" t="str">
        <f t="shared" si="44"/>
        <v>F</v>
      </c>
      <c r="CF75" s="208" t="str">
        <f t="shared" si="44"/>
        <v>F</v>
      </c>
      <c r="CG75" s="208" t="str">
        <f t="shared" si="44"/>
        <v>F</v>
      </c>
      <c r="CH75" s="208" t="str">
        <f t="shared" si="44"/>
        <v>F</v>
      </c>
      <c r="CI75" s="209" t="str">
        <f t="shared" si="44"/>
        <v>F</v>
      </c>
      <c r="CJ75" s="208" t="str">
        <f t="shared" si="44"/>
        <v>F</v>
      </c>
      <c r="CK75" s="208" t="str">
        <f t="shared" si="44"/>
        <v>F</v>
      </c>
      <c r="CL75" s="208" t="str">
        <f t="shared" si="44"/>
        <v>F</v>
      </c>
      <c r="CM75" s="208" t="str">
        <f t="shared" si="44"/>
        <v>F</v>
      </c>
      <c r="CN75" s="208" t="str">
        <f t="shared" si="44"/>
        <v>F</v>
      </c>
      <c r="CO75" s="208" t="str">
        <f t="shared" si="44"/>
        <v>F</v>
      </c>
      <c r="CP75" s="208" t="str">
        <f t="shared" si="44"/>
        <v>F</v>
      </c>
      <c r="CQ75" s="208" t="str">
        <f t="shared" si="44"/>
        <v>F</v>
      </c>
      <c r="CR75" s="208" t="str">
        <f t="shared" si="44"/>
        <v>F</v>
      </c>
      <c r="CS75" s="209" t="str">
        <f t="shared" si="44"/>
        <v>F</v>
      </c>
      <c r="CT75" s="208" t="str">
        <f t="shared" si="44"/>
        <v>F</v>
      </c>
      <c r="CU75" s="208" t="str">
        <f t="shared" si="44"/>
        <v>F</v>
      </c>
      <c r="CV75" s="208" t="str">
        <f t="shared" si="44"/>
        <v>F</v>
      </c>
      <c r="CW75" s="208" t="str">
        <f t="shared" si="44"/>
        <v>F</v>
      </c>
      <c r="CX75" s="208" t="str">
        <f t="shared" si="44"/>
        <v>F</v>
      </c>
      <c r="CY75" s="208" t="str">
        <f t="shared" si="44"/>
        <v>F</v>
      </c>
      <c r="CZ75" s="208" t="str">
        <f t="shared" si="44"/>
        <v>F</v>
      </c>
      <c r="DA75" s="208" t="str">
        <f t="shared" si="44"/>
        <v>F</v>
      </c>
      <c r="DB75" s="208" t="str">
        <f t="shared" si="44"/>
        <v>F</v>
      </c>
      <c r="DC75" s="210" t="str">
        <f t="shared" si="44"/>
        <v>F</v>
      </c>
    </row>
    <row r="76" spans="2:111" x14ac:dyDescent="0.2">
      <c r="B76" s="205"/>
      <c r="C76" s="879"/>
      <c r="D76" s="206"/>
      <c r="E76" s="247"/>
      <c r="F76" s="207"/>
      <c r="G76" s="220"/>
      <c r="H76" s="221"/>
      <c r="I76" s="221"/>
      <c r="J76" s="221"/>
      <c r="K76" s="221"/>
      <c r="L76" s="221"/>
      <c r="M76" s="221"/>
      <c r="N76" s="221"/>
      <c r="O76" s="221"/>
      <c r="P76" s="221"/>
      <c r="Q76" s="222"/>
      <c r="R76" s="221"/>
      <c r="S76" s="221"/>
      <c r="T76" s="221"/>
      <c r="U76" s="221"/>
      <c r="V76" s="221"/>
      <c r="W76" s="221"/>
      <c r="X76" s="221"/>
      <c r="Y76" s="221"/>
      <c r="Z76" s="221"/>
      <c r="AA76" s="222"/>
      <c r="AB76" s="221"/>
      <c r="AC76" s="221"/>
      <c r="AD76" s="221"/>
      <c r="AE76" s="221"/>
      <c r="AF76" s="221"/>
      <c r="AG76" s="221"/>
      <c r="AH76" s="221"/>
      <c r="AI76" s="221"/>
      <c r="AJ76" s="221"/>
      <c r="AK76" s="222"/>
      <c r="AL76" s="221"/>
      <c r="AM76" s="221"/>
      <c r="AN76" s="221"/>
      <c r="AO76" s="221"/>
      <c r="AP76" s="221"/>
      <c r="AQ76" s="221"/>
      <c r="AR76" s="221"/>
      <c r="AS76" s="221"/>
      <c r="AT76" s="221"/>
      <c r="AU76" s="222"/>
      <c r="AV76" s="221"/>
      <c r="AW76" s="221"/>
      <c r="AX76" s="221"/>
      <c r="AY76" s="221"/>
      <c r="AZ76" s="221"/>
      <c r="BA76" s="221"/>
      <c r="BB76" s="221"/>
      <c r="BC76" s="221"/>
      <c r="BD76" s="221"/>
      <c r="BE76" s="222"/>
      <c r="BF76" s="221"/>
      <c r="BG76" s="221"/>
      <c r="BH76" s="221"/>
      <c r="BI76" s="221"/>
      <c r="BJ76" s="221"/>
      <c r="BK76" s="221"/>
      <c r="BL76" s="221"/>
      <c r="BM76" s="221"/>
      <c r="BN76" s="221"/>
      <c r="BO76" s="222"/>
      <c r="BP76" s="221"/>
      <c r="BQ76" s="221"/>
      <c r="BR76" s="221"/>
      <c r="BS76" s="221"/>
      <c r="BT76" s="221"/>
      <c r="BU76" s="221"/>
      <c r="BV76" s="221"/>
      <c r="BW76" s="221"/>
      <c r="BX76" s="221"/>
      <c r="BY76" s="222"/>
      <c r="BZ76" s="221"/>
      <c r="CA76" s="221"/>
      <c r="CB76" s="221"/>
      <c r="CC76" s="221"/>
      <c r="CD76" s="221"/>
      <c r="CE76" s="221"/>
      <c r="CF76" s="221"/>
      <c r="CG76" s="221"/>
      <c r="CH76" s="221"/>
      <c r="CI76" s="222"/>
      <c r="CJ76" s="221"/>
      <c r="CK76" s="221"/>
      <c r="CL76" s="221"/>
      <c r="CM76" s="221"/>
      <c r="CN76" s="221"/>
      <c r="CO76" s="221"/>
      <c r="CP76" s="221"/>
      <c r="CQ76" s="221"/>
      <c r="CR76" s="221"/>
      <c r="CS76" s="222"/>
      <c r="CT76" s="221"/>
      <c r="CU76" s="221"/>
      <c r="CV76" s="221"/>
      <c r="CW76" s="221"/>
      <c r="CX76" s="221"/>
      <c r="CY76" s="221"/>
      <c r="CZ76" s="221"/>
      <c r="DA76" s="221"/>
      <c r="DB76" s="221"/>
      <c r="DC76" s="223"/>
    </row>
    <row r="77" spans="2:111" x14ac:dyDescent="0.2">
      <c r="B77" s="205"/>
      <c r="C77" s="879"/>
      <c r="D77" s="206" t="str">
        <f>'Technologies Matrix'!B55</f>
        <v>Innovative/Alternative (I/A) Enhanced Systems</v>
      </c>
      <c r="E77" s="247">
        <f>'Technologies Matrix'!S55</f>
        <v>50.476190476190474</v>
      </c>
      <c r="F77" s="207">
        <f>'Technologies Matrix'!T55</f>
        <v>50.476190476190474</v>
      </c>
      <c r="G77" s="209" t="str">
        <f>IF(AND(G$3&gt;=$E77,G$3&lt;=$F77),"T","F")</f>
        <v>F</v>
      </c>
      <c r="H77" s="208" t="str">
        <f t="shared" ref="H77:BS77" si="45">IF(AND(H$3&gt;=$E77,H$3&lt;=$F77),"T","F")</f>
        <v>F</v>
      </c>
      <c r="I77" s="208" t="str">
        <f t="shared" si="45"/>
        <v>F</v>
      </c>
      <c r="J77" s="208" t="str">
        <f t="shared" si="45"/>
        <v>F</v>
      </c>
      <c r="K77" s="208" t="str">
        <f t="shared" si="45"/>
        <v>F</v>
      </c>
      <c r="L77" s="208" t="str">
        <f t="shared" si="45"/>
        <v>F</v>
      </c>
      <c r="M77" s="208" t="str">
        <f t="shared" si="45"/>
        <v>F</v>
      </c>
      <c r="N77" s="208" t="str">
        <f t="shared" si="45"/>
        <v>F</v>
      </c>
      <c r="O77" s="208" t="str">
        <f t="shared" si="45"/>
        <v>F</v>
      </c>
      <c r="P77" s="208" t="str">
        <f t="shared" si="45"/>
        <v>F</v>
      </c>
      <c r="Q77" s="209" t="str">
        <f t="shared" si="45"/>
        <v>F</v>
      </c>
      <c r="R77" s="208" t="str">
        <f t="shared" si="45"/>
        <v>F</v>
      </c>
      <c r="S77" s="208" t="str">
        <f t="shared" si="45"/>
        <v>F</v>
      </c>
      <c r="T77" s="208" t="str">
        <f t="shared" si="45"/>
        <v>F</v>
      </c>
      <c r="U77" s="208" t="str">
        <f t="shared" si="45"/>
        <v>F</v>
      </c>
      <c r="V77" s="208" t="str">
        <f t="shared" si="45"/>
        <v>F</v>
      </c>
      <c r="W77" s="208" t="str">
        <f t="shared" si="45"/>
        <v>F</v>
      </c>
      <c r="X77" s="208" t="str">
        <f t="shared" si="45"/>
        <v>F</v>
      </c>
      <c r="Y77" s="208" t="str">
        <f t="shared" si="45"/>
        <v>F</v>
      </c>
      <c r="Z77" s="208" t="str">
        <f t="shared" si="45"/>
        <v>F</v>
      </c>
      <c r="AA77" s="209" t="str">
        <f t="shared" si="45"/>
        <v>F</v>
      </c>
      <c r="AB77" s="208" t="str">
        <f t="shared" si="45"/>
        <v>F</v>
      </c>
      <c r="AC77" s="208" t="str">
        <f t="shared" si="45"/>
        <v>F</v>
      </c>
      <c r="AD77" s="208" t="str">
        <f t="shared" si="45"/>
        <v>F</v>
      </c>
      <c r="AE77" s="208" t="str">
        <f t="shared" si="45"/>
        <v>F</v>
      </c>
      <c r="AF77" s="208" t="str">
        <f t="shared" si="45"/>
        <v>F</v>
      </c>
      <c r="AG77" s="208" t="str">
        <f t="shared" si="45"/>
        <v>F</v>
      </c>
      <c r="AH77" s="208" t="str">
        <f t="shared" si="45"/>
        <v>F</v>
      </c>
      <c r="AI77" s="208" t="str">
        <f t="shared" si="45"/>
        <v>F</v>
      </c>
      <c r="AJ77" s="208" t="str">
        <f t="shared" si="45"/>
        <v>F</v>
      </c>
      <c r="AK77" s="209" t="str">
        <f t="shared" si="45"/>
        <v>F</v>
      </c>
      <c r="AL77" s="208" t="str">
        <f t="shared" si="45"/>
        <v>F</v>
      </c>
      <c r="AM77" s="208" t="str">
        <f t="shared" si="45"/>
        <v>F</v>
      </c>
      <c r="AN77" s="208" t="str">
        <f t="shared" si="45"/>
        <v>F</v>
      </c>
      <c r="AO77" s="208" t="str">
        <f t="shared" si="45"/>
        <v>F</v>
      </c>
      <c r="AP77" s="208" t="str">
        <f t="shared" si="45"/>
        <v>F</v>
      </c>
      <c r="AQ77" s="208" t="str">
        <f t="shared" si="45"/>
        <v>F</v>
      </c>
      <c r="AR77" s="208" t="str">
        <f t="shared" si="45"/>
        <v>F</v>
      </c>
      <c r="AS77" s="208" t="str">
        <f t="shared" si="45"/>
        <v>F</v>
      </c>
      <c r="AT77" s="208" t="str">
        <f t="shared" si="45"/>
        <v>F</v>
      </c>
      <c r="AU77" s="209" t="str">
        <f t="shared" si="45"/>
        <v>F</v>
      </c>
      <c r="AV77" s="208" t="str">
        <f t="shared" si="45"/>
        <v>F</v>
      </c>
      <c r="AW77" s="208" t="str">
        <f t="shared" si="45"/>
        <v>F</v>
      </c>
      <c r="AX77" s="208" t="str">
        <f t="shared" si="45"/>
        <v>F</v>
      </c>
      <c r="AY77" s="208" t="str">
        <f t="shared" si="45"/>
        <v>F</v>
      </c>
      <c r="AZ77" s="208" t="str">
        <f t="shared" si="45"/>
        <v>F</v>
      </c>
      <c r="BA77" s="208" t="str">
        <f t="shared" si="45"/>
        <v>F</v>
      </c>
      <c r="BB77" s="208" t="str">
        <f t="shared" si="45"/>
        <v>F</v>
      </c>
      <c r="BC77" s="208" t="str">
        <f t="shared" si="45"/>
        <v>F</v>
      </c>
      <c r="BD77" s="208" t="str">
        <f t="shared" si="45"/>
        <v>F</v>
      </c>
      <c r="BE77" s="209" t="str">
        <f t="shared" si="45"/>
        <v>F</v>
      </c>
      <c r="BF77" s="208" t="str">
        <f t="shared" si="45"/>
        <v>F</v>
      </c>
      <c r="BG77" s="208" t="str">
        <f t="shared" si="45"/>
        <v>F</v>
      </c>
      <c r="BH77" s="208" t="str">
        <f t="shared" si="45"/>
        <v>F</v>
      </c>
      <c r="BI77" s="208" t="str">
        <f t="shared" si="45"/>
        <v>F</v>
      </c>
      <c r="BJ77" s="208" t="str">
        <f t="shared" si="45"/>
        <v>F</v>
      </c>
      <c r="BK77" s="208" t="str">
        <f t="shared" si="45"/>
        <v>F</v>
      </c>
      <c r="BL77" s="208" t="str">
        <f t="shared" si="45"/>
        <v>F</v>
      </c>
      <c r="BM77" s="208" t="str">
        <f t="shared" si="45"/>
        <v>F</v>
      </c>
      <c r="BN77" s="208" t="str">
        <f t="shared" si="45"/>
        <v>F</v>
      </c>
      <c r="BO77" s="209" t="str">
        <f t="shared" si="45"/>
        <v>F</v>
      </c>
      <c r="BP77" s="208" t="str">
        <f t="shared" si="45"/>
        <v>F</v>
      </c>
      <c r="BQ77" s="208" t="str">
        <f t="shared" si="45"/>
        <v>F</v>
      </c>
      <c r="BR77" s="208" t="str">
        <f t="shared" si="45"/>
        <v>F</v>
      </c>
      <c r="BS77" s="208" t="str">
        <f t="shared" si="45"/>
        <v>F</v>
      </c>
      <c r="BT77" s="208" t="str">
        <f t="shared" ref="BT77:DC77" si="46">IF(AND(BT$3&gt;=$E77,BT$3&lt;=$F77),"T","F")</f>
        <v>F</v>
      </c>
      <c r="BU77" s="208" t="str">
        <f t="shared" si="46"/>
        <v>F</v>
      </c>
      <c r="BV77" s="208" t="str">
        <f t="shared" si="46"/>
        <v>F</v>
      </c>
      <c r="BW77" s="208" t="str">
        <f t="shared" si="46"/>
        <v>F</v>
      </c>
      <c r="BX77" s="208" t="str">
        <f t="shared" si="46"/>
        <v>F</v>
      </c>
      <c r="BY77" s="209" t="str">
        <f t="shared" si="46"/>
        <v>F</v>
      </c>
      <c r="BZ77" s="208" t="str">
        <f t="shared" si="46"/>
        <v>F</v>
      </c>
      <c r="CA77" s="208" t="str">
        <f t="shared" si="46"/>
        <v>F</v>
      </c>
      <c r="CB77" s="208" t="str">
        <f t="shared" si="46"/>
        <v>F</v>
      </c>
      <c r="CC77" s="208" t="str">
        <f t="shared" si="46"/>
        <v>F</v>
      </c>
      <c r="CD77" s="208" t="str">
        <f t="shared" si="46"/>
        <v>F</v>
      </c>
      <c r="CE77" s="208" t="str">
        <f t="shared" si="46"/>
        <v>F</v>
      </c>
      <c r="CF77" s="208" t="str">
        <f t="shared" si="46"/>
        <v>F</v>
      </c>
      <c r="CG77" s="208" t="str">
        <f t="shared" si="46"/>
        <v>F</v>
      </c>
      <c r="CH77" s="208" t="str">
        <f t="shared" si="46"/>
        <v>F</v>
      </c>
      <c r="CI77" s="209" t="str">
        <f t="shared" si="46"/>
        <v>F</v>
      </c>
      <c r="CJ77" s="208" t="str">
        <f t="shared" si="46"/>
        <v>F</v>
      </c>
      <c r="CK77" s="208" t="str">
        <f t="shared" si="46"/>
        <v>F</v>
      </c>
      <c r="CL77" s="208" t="str">
        <f t="shared" si="46"/>
        <v>F</v>
      </c>
      <c r="CM77" s="208" t="str">
        <f t="shared" si="46"/>
        <v>F</v>
      </c>
      <c r="CN77" s="208" t="str">
        <f t="shared" si="46"/>
        <v>F</v>
      </c>
      <c r="CO77" s="208" t="str">
        <f t="shared" si="46"/>
        <v>F</v>
      </c>
      <c r="CP77" s="208" t="str">
        <f t="shared" si="46"/>
        <v>F</v>
      </c>
      <c r="CQ77" s="208" t="str">
        <f t="shared" si="46"/>
        <v>F</v>
      </c>
      <c r="CR77" s="208" t="str">
        <f t="shared" si="46"/>
        <v>F</v>
      </c>
      <c r="CS77" s="209" t="str">
        <f t="shared" si="46"/>
        <v>F</v>
      </c>
      <c r="CT77" s="208" t="str">
        <f t="shared" si="46"/>
        <v>F</v>
      </c>
      <c r="CU77" s="208" t="str">
        <f t="shared" si="46"/>
        <v>F</v>
      </c>
      <c r="CV77" s="208" t="str">
        <f t="shared" si="46"/>
        <v>F</v>
      </c>
      <c r="CW77" s="208" t="str">
        <f t="shared" si="46"/>
        <v>F</v>
      </c>
      <c r="CX77" s="208" t="str">
        <f t="shared" si="46"/>
        <v>F</v>
      </c>
      <c r="CY77" s="208" t="str">
        <f t="shared" si="46"/>
        <v>F</v>
      </c>
      <c r="CZ77" s="208" t="str">
        <f t="shared" si="46"/>
        <v>F</v>
      </c>
      <c r="DA77" s="208" t="str">
        <f t="shared" si="46"/>
        <v>F</v>
      </c>
      <c r="DB77" s="208" t="str">
        <f t="shared" si="46"/>
        <v>F</v>
      </c>
      <c r="DC77" s="210" t="str">
        <f t="shared" si="46"/>
        <v>F</v>
      </c>
    </row>
    <row r="78" spans="2:111" x14ac:dyDescent="0.2">
      <c r="B78" s="205"/>
      <c r="C78" s="879"/>
      <c r="D78" s="206"/>
      <c r="E78" s="247"/>
      <c r="F78" s="207"/>
      <c r="G78" s="220"/>
      <c r="H78" s="221"/>
      <c r="I78" s="221"/>
      <c r="J78" s="221"/>
      <c r="K78" s="221"/>
      <c r="L78" s="221"/>
      <c r="M78" s="221"/>
      <c r="N78" s="221"/>
      <c r="O78" s="221"/>
      <c r="P78" s="221"/>
      <c r="Q78" s="222"/>
      <c r="R78" s="221"/>
      <c r="S78" s="221"/>
      <c r="T78" s="221"/>
      <c r="U78" s="221"/>
      <c r="V78" s="221"/>
      <c r="W78" s="221"/>
      <c r="X78" s="221"/>
      <c r="Y78" s="221"/>
      <c r="Z78" s="221"/>
      <c r="AA78" s="222"/>
      <c r="AB78" s="221"/>
      <c r="AC78" s="221"/>
      <c r="AD78" s="221"/>
      <c r="AE78" s="221"/>
      <c r="AF78" s="221"/>
      <c r="AG78" s="221"/>
      <c r="AH78" s="221"/>
      <c r="AI78" s="221"/>
      <c r="AJ78" s="221"/>
      <c r="AK78" s="222"/>
      <c r="AL78" s="221"/>
      <c r="AM78" s="221"/>
      <c r="AN78" s="221"/>
      <c r="AO78" s="221"/>
      <c r="AP78" s="221"/>
      <c r="AQ78" s="221"/>
      <c r="AR78" s="221"/>
      <c r="AS78" s="221"/>
      <c r="AT78" s="221"/>
      <c r="AU78" s="222"/>
      <c r="AV78" s="221"/>
      <c r="AW78" s="221"/>
      <c r="AX78" s="221"/>
      <c r="AY78" s="221"/>
      <c r="AZ78" s="221"/>
      <c r="BA78" s="221"/>
      <c r="BB78" s="221"/>
      <c r="BC78" s="221"/>
      <c r="BD78" s="221"/>
      <c r="BE78" s="222"/>
      <c r="BF78" s="221"/>
      <c r="BG78" s="221"/>
      <c r="BH78" s="221"/>
      <c r="BI78" s="221"/>
      <c r="BJ78" s="221"/>
      <c r="BK78" s="221"/>
      <c r="BL78" s="221"/>
      <c r="BM78" s="221"/>
      <c r="BN78" s="221"/>
      <c r="BO78" s="222"/>
      <c r="BP78" s="221"/>
      <c r="BQ78" s="221"/>
      <c r="BR78" s="221"/>
      <c r="BS78" s="221"/>
      <c r="BT78" s="221"/>
      <c r="BU78" s="221"/>
      <c r="BV78" s="221"/>
      <c r="BW78" s="221"/>
      <c r="BX78" s="221"/>
      <c r="BY78" s="222"/>
      <c r="BZ78" s="221"/>
      <c r="CA78" s="221"/>
      <c r="CB78" s="221"/>
      <c r="CC78" s="221"/>
      <c r="CD78" s="221"/>
      <c r="CE78" s="221"/>
      <c r="CF78" s="221"/>
      <c r="CG78" s="221"/>
      <c r="CH78" s="221"/>
      <c r="CI78" s="222"/>
      <c r="CJ78" s="221"/>
      <c r="CK78" s="221"/>
      <c r="CL78" s="221"/>
      <c r="CM78" s="221"/>
      <c r="CN78" s="221"/>
      <c r="CO78" s="221"/>
      <c r="CP78" s="221"/>
      <c r="CQ78" s="221"/>
      <c r="CR78" s="221"/>
      <c r="CS78" s="222"/>
      <c r="CT78" s="221"/>
      <c r="CU78" s="221"/>
      <c r="CV78" s="221"/>
      <c r="CW78" s="221"/>
      <c r="CX78" s="221"/>
      <c r="CY78" s="221"/>
      <c r="CZ78" s="221"/>
      <c r="DA78" s="221"/>
      <c r="DB78" s="221"/>
      <c r="DC78" s="223"/>
    </row>
    <row r="79" spans="2:111" x14ac:dyDescent="0.2">
      <c r="B79" s="205"/>
      <c r="C79" s="879"/>
      <c r="D79" s="206" t="str">
        <f>'Technologies Matrix'!B56</f>
        <v>Cluster Treatment System - Single-stage</v>
      </c>
      <c r="E79" s="247">
        <f>'Technologies Matrix'!S56</f>
        <v>42.857142857142861</v>
      </c>
      <c r="F79" s="207">
        <f>'Technologies Matrix'!T56</f>
        <v>42.857142857142861</v>
      </c>
      <c r="G79" s="209" t="str">
        <f>IF(AND(G$3&gt;=$E79,G$3&lt;=$F79),"T","F")</f>
        <v>F</v>
      </c>
      <c r="H79" s="208" t="str">
        <f t="shared" ref="H79:BS79" si="47">IF(AND(H$3&gt;=$E79,H$3&lt;=$F79),"T","F")</f>
        <v>F</v>
      </c>
      <c r="I79" s="208" t="str">
        <f t="shared" si="47"/>
        <v>F</v>
      </c>
      <c r="J79" s="208" t="str">
        <f t="shared" si="47"/>
        <v>F</v>
      </c>
      <c r="K79" s="208" t="str">
        <f t="shared" si="47"/>
        <v>F</v>
      </c>
      <c r="L79" s="208" t="str">
        <f t="shared" si="47"/>
        <v>F</v>
      </c>
      <c r="M79" s="208" t="str">
        <f t="shared" si="47"/>
        <v>F</v>
      </c>
      <c r="N79" s="208" t="str">
        <f t="shared" si="47"/>
        <v>F</v>
      </c>
      <c r="O79" s="208" t="str">
        <f t="shared" si="47"/>
        <v>F</v>
      </c>
      <c r="P79" s="208" t="str">
        <f t="shared" si="47"/>
        <v>F</v>
      </c>
      <c r="Q79" s="209" t="str">
        <f t="shared" si="47"/>
        <v>F</v>
      </c>
      <c r="R79" s="208" t="str">
        <f t="shared" si="47"/>
        <v>F</v>
      </c>
      <c r="S79" s="208" t="str">
        <f t="shared" si="47"/>
        <v>F</v>
      </c>
      <c r="T79" s="208" t="str">
        <f t="shared" si="47"/>
        <v>F</v>
      </c>
      <c r="U79" s="208" t="str">
        <f t="shared" si="47"/>
        <v>F</v>
      </c>
      <c r="V79" s="208" t="str">
        <f t="shared" si="47"/>
        <v>F</v>
      </c>
      <c r="W79" s="208" t="str">
        <f t="shared" si="47"/>
        <v>F</v>
      </c>
      <c r="X79" s="208" t="str">
        <f t="shared" si="47"/>
        <v>F</v>
      </c>
      <c r="Y79" s="208" t="str">
        <f t="shared" si="47"/>
        <v>F</v>
      </c>
      <c r="Z79" s="208" t="str">
        <f t="shared" si="47"/>
        <v>F</v>
      </c>
      <c r="AA79" s="209" t="str">
        <f t="shared" si="47"/>
        <v>F</v>
      </c>
      <c r="AB79" s="208" t="str">
        <f t="shared" si="47"/>
        <v>F</v>
      </c>
      <c r="AC79" s="208" t="str">
        <f t="shared" si="47"/>
        <v>F</v>
      </c>
      <c r="AD79" s="208" t="str">
        <f t="shared" si="47"/>
        <v>F</v>
      </c>
      <c r="AE79" s="208" t="str">
        <f t="shared" si="47"/>
        <v>F</v>
      </c>
      <c r="AF79" s="208" t="str">
        <f t="shared" si="47"/>
        <v>F</v>
      </c>
      <c r="AG79" s="208" t="str">
        <f t="shared" si="47"/>
        <v>F</v>
      </c>
      <c r="AH79" s="208" t="str">
        <f t="shared" si="47"/>
        <v>F</v>
      </c>
      <c r="AI79" s="208" t="str">
        <f t="shared" si="47"/>
        <v>F</v>
      </c>
      <c r="AJ79" s="208" t="str">
        <f t="shared" si="47"/>
        <v>F</v>
      </c>
      <c r="AK79" s="209" t="str">
        <f t="shared" si="47"/>
        <v>F</v>
      </c>
      <c r="AL79" s="208" t="str">
        <f t="shared" si="47"/>
        <v>F</v>
      </c>
      <c r="AM79" s="208" t="str">
        <f t="shared" si="47"/>
        <v>F</v>
      </c>
      <c r="AN79" s="208" t="str">
        <f t="shared" si="47"/>
        <v>F</v>
      </c>
      <c r="AO79" s="208" t="str">
        <f t="shared" si="47"/>
        <v>F</v>
      </c>
      <c r="AP79" s="208" t="str">
        <f t="shared" si="47"/>
        <v>F</v>
      </c>
      <c r="AQ79" s="208" t="str">
        <f t="shared" si="47"/>
        <v>F</v>
      </c>
      <c r="AR79" s="208" t="str">
        <f t="shared" si="47"/>
        <v>F</v>
      </c>
      <c r="AS79" s="208" t="str">
        <f t="shared" si="47"/>
        <v>F</v>
      </c>
      <c r="AT79" s="208" t="str">
        <f t="shared" si="47"/>
        <v>F</v>
      </c>
      <c r="AU79" s="209" t="str">
        <f t="shared" si="47"/>
        <v>F</v>
      </c>
      <c r="AV79" s="208" t="str">
        <f t="shared" si="47"/>
        <v>F</v>
      </c>
      <c r="AW79" s="208" t="str">
        <f t="shared" si="47"/>
        <v>F</v>
      </c>
      <c r="AX79" s="208" t="str">
        <f t="shared" si="47"/>
        <v>F</v>
      </c>
      <c r="AY79" s="208" t="str">
        <f t="shared" si="47"/>
        <v>F</v>
      </c>
      <c r="AZ79" s="208" t="str">
        <f t="shared" si="47"/>
        <v>F</v>
      </c>
      <c r="BA79" s="208" t="str">
        <f t="shared" si="47"/>
        <v>F</v>
      </c>
      <c r="BB79" s="208" t="str">
        <f t="shared" si="47"/>
        <v>F</v>
      </c>
      <c r="BC79" s="208" t="str">
        <f t="shared" si="47"/>
        <v>F</v>
      </c>
      <c r="BD79" s="208" t="str">
        <f t="shared" si="47"/>
        <v>F</v>
      </c>
      <c r="BE79" s="209" t="str">
        <f t="shared" si="47"/>
        <v>F</v>
      </c>
      <c r="BF79" s="208" t="str">
        <f t="shared" si="47"/>
        <v>F</v>
      </c>
      <c r="BG79" s="208" t="str">
        <f t="shared" si="47"/>
        <v>F</v>
      </c>
      <c r="BH79" s="208" t="str">
        <f t="shared" si="47"/>
        <v>F</v>
      </c>
      <c r="BI79" s="208" t="str">
        <f t="shared" si="47"/>
        <v>F</v>
      </c>
      <c r="BJ79" s="208" t="str">
        <f t="shared" si="47"/>
        <v>F</v>
      </c>
      <c r="BK79" s="208" t="str">
        <f t="shared" si="47"/>
        <v>F</v>
      </c>
      <c r="BL79" s="208" t="str">
        <f t="shared" si="47"/>
        <v>F</v>
      </c>
      <c r="BM79" s="208" t="str">
        <f t="shared" si="47"/>
        <v>F</v>
      </c>
      <c r="BN79" s="208" t="str">
        <f t="shared" si="47"/>
        <v>F</v>
      </c>
      <c r="BO79" s="209" t="str">
        <f t="shared" si="47"/>
        <v>F</v>
      </c>
      <c r="BP79" s="208" t="str">
        <f t="shared" si="47"/>
        <v>F</v>
      </c>
      <c r="BQ79" s="208" t="str">
        <f t="shared" si="47"/>
        <v>F</v>
      </c>
      <c r="BR79" s="208" t="str">
        <f t="shared" si="47"/>
        <v>F</v>
      </c>
      <c r="BS79" s="208" t="str">
        <f t="shared" si="47"/>
        <v>F</v>
      </c>
      <c r="BT79" s="208" t="str">
        <f t="shared" ref="BT79:DC79" si="48">IF(AND(BT$3&gt;=$E79,BT$3&lt;=$F79),"T","F")</f>
        <v>F</v>
      </c>
      <c r="BU79" s="208" t="str">
        <f t="shared" si="48"/>
        <v>F</v>
      </c>
      <c r="BV79" s="208" t="str">
        <f t="shared" si="48"/>
        <v>F</v>
      </c>
      <c r="BW79" s="208" t="str">
        <f t="shared" si="48"/>
        <v>F</v>
      </c>
      <c r="BX79" s="208" t="str">
        <f t="shared" si="48"/>
        <v>F</v>
      </c>
      <c r="BY79" s="209" t="str">
        <f t="shared" si="48"/>
        <v>F</v>
      </c>
      <c r="BZ79" s="208" t="str">
        <f t="shared" si="48"/>
        <v>F</v>
      </c>
      <c r="CA79" s="208" t="str">
        <f t="shared" si="48"/>
        <v>F</v>
      </c>
      <c r="CB79" s="208" t="str">
        <f t="shared" si="48"/>
        <v>F</v>
      </c>
      <c r="CC79" s="208" t="str">
        <f t="shared" si="48"/>
        <v>F</v>
      </c>
      <c r="CD79" s="208" t="str">
        <f t="shared" si="48"/>
        <v>F</v>
      </c>
      <c r="CE79" s="208" t="str">
        <f t="shared" si="48"/>
        <v>F</v>
      </c>
      <c r="CF79" s="208" t="str">
        <f t="shared" si="48"/>
        <v>F</v>
      </c>
      <c r="CG79" s="208" t="str">
        <f t="shared" si="48"/>
        <v>F</v>
      </c>
      <c r="CH79" s="208" t="str">
        <f t="shared" si="48"/>
        <v>F</v>
      </c>
      <c r="CI79" s="209" t="str">
        <f t="shared" si="48"/>
        <v>F</v>
      </c>
      <c r="CJ79" s="208" t="str">
        <f t="shared" si="48"/>
        <v>F</v>
      </c>
      <c r="CK79" s="208" t="str">
        <f t="shared" si="48"/>
        <v>F</v>
      </c>
      <c r="CL79" s="208" t="str">
        <f t="shared" si="48"/>
        <v>F</v>
      </c>
      <c r="CM79" s="208" t="str">
        <f t="shared" si="48"/>
        <v>F</v>
      </c>
      <c r="CN79" s="208" t="str">
        <f t="shared" si="48"/>
        <v>F</v>
      </c>
      <c r="CO79" s="208" t="str">
        <f t="shared" si="48"/>
        <v>F</v>
      </c>
      <c r="CP79" s="208" t="str">
        <f t="shared" si="48"/>
        <v>F</v>
      </c>
      <c r="CQ79" s="208" t="str">
        <f t="shared" si="48"/>
        <v>F</v>
      </c>
      <c r="CR79" s="208" t="str">
        <f t="shared" si="48"/>
        <v>F</v>
      </c>
      <c r="CS79" s="209" t="str">
        <f t="shared" si="48"/>
        <v>F</v>
      </c>
      <c r="CT79" s="208" t="str">
        <f t="shared" si="48"/>
        <v>F</v>
      </c>
      <c r="CU79" s="208" t="str">
        <f t="shared" si="48"/>
        <v>F</v>
      </c>
      <c r="CV79" s="208" t="str">
        <f t="shared" si="48"/>
        <v>F</v>
      </c>
      <c r="CW79" s="208" t="str">
        <f t="shared" si="48"/>
        <v>F</v>
      </c>
      <c r="CX79" s="208" t="str">
        <f t="shared" si="48"/>
        <v>F</v>
      </c>
      <c r="CY79" s="208" t="str">
        <f t="shared" si="48"/>
        <v>F</v>
      </c>
      <c r="CZ79" s="208" t="str">
        <f t="shared" si="48"/>
        <v>F</v>
      </c>
      <c r="DA79" s="208" t="str">
        <f t="shared" si="48"/>
        <v>F</v>
      </c>
      <c r="DB79" s="208" t="str">
        <f t="shared" si="48"/>
        <v>F</v>
      </c>
      <c r="DC79" s="210" t="str">
        <f t="shared" si="48"/>
        <v>F</v>
      </c>
    </row>
    <row r="80" spans="2:111" x14ac:dyDescent="0.2">
      <c r="B80" s="205"/>
      <c r="C80" s="879"/>
      <c r="D80" s="206"/>
      <c r="E80" s="247"/>
      <c r="F80" s="207"/>
      <c r="G80" s="220"/>
      <c r="H80" s="221"/>
      <c r="I80" s="221"/>
      <c r="J80" s="221"/>
      <c r="K80" s="221"/>
      <c r="L80" s="221"/>
      <c r="M80" s="221"/>
      <c r="N80" s="221"/>
      <c r="O80" s="221"/>
      <c r="P80" s="221"/>
      <c r="Q80" s="222"/>
      <c r="R80" s="221"/>
      <c r="S80" s="221"/>
      <c r="T80" s="221"/>
      <c r="U80" s="221"/>
      <c r="V80" s="221"/>
      <c r="W80" s="221"/>
      <c r="X80" s="221"/>
      <c r="Y80" s="221"/>
      <c r="Z80" s="221"/>
      <c r="AA80" s="222"/>
      <c r="AB80" s="221"/>
      <c r="AC80" s="221"/>
      <c r="AD80" s="221"/>
      <c r="AE80" s="221"/>
      <c r="AF80" s="221"/>
      <c r="AG80" s="221"/>
      <c r="AH80" s="221"/>
      <c r="AI80" s="221"/>
      <c r="AJ80" s="221"/>
      <c r="AK80" s="222"/>
      <c r="AL80" s="221"/>
      <c r="AM80" s="221"/>
      <c r="AN80" s="221"/>
      <c r="AO80" s="221"/>
      <c r="AP80" s="221"/>
      <c r="AQ80" s="221"/>
      <c r="AR80" s="221"/>
      <c r="AS80" s="221"/>
      <c r="AT80" s="221"/>
      <c r="AU80" s="222"/>
      <c r="AV80" s="221"/>
      <c r="AW80" s="221"/>
      <c r="AX80" s="221"/>
      <c r="AY80" s="221"/>
      <c r="AZ80" s="221"/>
      <c r="BA80" s="221"/>
      <c r="BB80" s="221"/>
      <c r="BC80" s="221"/>
      <c r="BD80" s="221"/>
      <c r="BE80" s="222"/>
      <c r="BF80" s="221"/>
      <c r="BG80" s="221"/>
      <c r="BH80" s="221"/>
      <c r="BI80" s="221"/>
      <c r="BJ80" s="221"/>
      <c r="BK80" s="221"/>
      <c r="BL80" s="221"/>
      <c r="BM80" s="221"/>
      <c r="BN80" s="221"/>
      <c r="BO80" s="222"/>
      <c r="BP80" s="221"/>
      <c r="BQ80" s="221"/>
      <c r="BR80" s="221"/>
      <c r="BS80" s="221"/>
      <c r="BT80" s="221"/>
      <c r="BU80" s="221"/>
      <c r="BV80" s="221"/>
      <c r="BW80" s="221"/>
      <c r="BX80" s="221"/>
      <c r="BY80" s="222"/>
      <c r="BZ80" s="221"/>
      <c r="CA80" s="221"/>
      <c r="CB80" s="221"/>
      <c r="CC80" s="221"/>
      <c r="CD80" s="221"/>
      <c r="CE80" s="221"/>
      <c r="CF80" s="221"/>
      <c r="CG80" s="221"/>
      <c r="CH80" s="221"/>
      <c r="CI80" s="222"/>
      <c r="CJ80" s="221"/>
      <c r="CK80" s="221"/>
      <c r="CL80" s="221"/>
      <c r="CM80" s="221"/>
      <c r="CN80" s="221"/>
      <c r="CO80" s="221"/>
      <c r="CP80" s="221"/>
      <c r="CQ80" s="221"/>
      <c r="CR80" s="221"/>
      <c r="CS80" s="222"/>
      <c r="CT80" s="221"/>
      <c r="CU80" s="221"/>
      <c r="CV80" s="221"/>
      <c r="CW80" s="221"/>
      <c r="CX80" s="221"/>
      <c r="CY80" s="221"/>
      <c r="CZ80" s="221"/>
      <c r="DA80" s="221"/>
      <c r="DB80" s="221"/>
      <c r="DC80" s="223"/>
    </row>
    <row r="81" spans="2:107" x14ac:dyDescent="0.2">
      <c r="B81" s="205"/>
      <c r="C81" s="879"/>
      <c r="D81" s="206" t="str">
        <f>'Technologies Matrix'!B57</f>
        <v xml:space="preserve">Cluster Treatment System - Two-stage </v>
      </c>
      <c r="E81" s="247">
        <f>'Technologies Matrix'!S57</f>
        <v>69.523809523809518</v>
      </c>
      <c r="F81" s="207">
        <f>'Technologies Matrix'!T57</f>
        <v>69.523809523809518</v>
      </c>
      <c r="G81" s="209" t="str">
        <f>IF(AND(G$3&gt;=$E81,G$3&lt;=$F81),"T","F")</f>
        <v>F</v>
      </c>
      <c r="H81" s="208" t="str">
        <f t="shared" ref="H81:BS81" si="49">IF(AND(H$3&gt;=$E81,H$3&lt;=$F81),"T","F")</f>
        <v>F</v>
      </c>
      <c r="I81" s="208" t="str">
        <f t="shared" si="49"/>
        <v>F</v>
      </c>
      <c r="J81" s="208" t="str">
        <f t="shared" si="49"/>
        <v>F</v>
      </c>
      <c r="K81" s="208" t="str">
        <f t="shared" si="49"/>
        <v>F</v>
      </c>
      <c r="L81" s="208" t="str">
        <f t="shared" si="49"/>
        <v>F</v>
      </c>
      <c r="M81" s="208" t="str">
        <f t="shared" si="49"/>
        <v>F</v>
      </c>
      <c r="N81" s="208" t="str">
        <f t="shared" si="49"/>
        <v>F</v>
      </c>
      <c r="O81" s="208" t="str">
        <f t="shared" si="49"/>
        <v>F</v>
      </c>
      <c r="P81" s="208" t="str">
        <f t="shared" si="49"/>
        <v>F</v>
      </c>
      <c r="Q81" s="209" t="str">
        <f t="shared" si="49"/>
        <v>F</v>
      </c>
      <c r="R81" s="208" t="str">
        <f t="shared" si="49"/>
        <v>F</v>
      </c>
      <c r="S81" s="208" t="str">
        <f t="shared" si="49"/>
        <v>F</v>
      </c>
      <c r="T81" s="208" t="str">
        <f t="shared" si="49"/>
        <v>F</v>
      </c>
      <c r="U81" s="208" t="str">
        <f t="shared" si="49"/>
        <v>F</v>
      </c>
      <c r="V81" s="208" t="str">
        <f t="shared" si="49"/>
        <v>F</v>
      </c>
      <c r="W81" s="208" t="str">
        <f t="shared" si="49"/>
        <v>F</v>
      </c>
      <c r="X81" s="208" t="str">
        <f t="shared" si="49"/>
        <v>F</v>
      </c>
      <c r="Y81" s="208" t="str">
        <f t="shared" si="49"/>
        <v>F</v>
      </c>
      <c r="Z81" s="208" t="str">
        <f t="shared" si="49"/>
        <v>F</v>
      </c>
      <c r="AA81" s="209" t="str">
        <f t="shared" si="49"/>
        <v>F</v>
      </c>
      <c r="AB81" s="208" t="str">
        <f t="shared" si="49"/>
        <v>F</v>
      </c>
      <c r="AC81" s="208" t="str">
        <f t="shared" si="49"/>
        <v>F</v>
      </c>
      <c r="AD81" s="208" t="str">
        <f t="shared" si="49"/>
        <v>F</v>
      </c>
      <c r="AE81" s="208" t="str">
        <f t="shared" si="49"/>
        <v>F</v>
      </c>
      <c r="AF81" s="208" t="str">
        <f t="shared" si="49"/>
        <v>F</v>
      </c>
      <c r="AG81" s="208" t="str">
        <f t="shared" si="49"/>
        <v>F</v>
      </c>
      <c r="AH81" s="208" t="str">
        <f t="shared" si="49"/>
        <v>F</v>
      </c>
      <c r="AI81" s="208" t="str">
        <f t="shared" si="49"/>
        <v>F</v>
      </c>
      <c r="AJ81" s="208" t="str">
        <f t="shared" si="49"/>
        <v>F</v>
      </c>
      <c r="AK81" s="209" t="str">
        <f t="shared" si="49"/>
        <v>F</v>
      </c>
      <c r="AL81" s="208" t="str">
        <f t="shared" si="49"/>
        <v>F</v>
      </c>
      <c r="AM81" s="208" t="str">
        <f t="shared" si="49"/>
        <v>F</v>
      </c>
      <c r="AN81" s="208" t="str">
        <f t="shared" si="49"/>
        <v>F</v>
      </c>
      <c r="AO81" s="208" t="str">
        <f t="shared" si="49"/>
        <v>F</v>
      </c>
      <c r="AP81" s="208" t="str">
        <f t="shared" si="49"/>
        <v>F</v>
      </c>
      <c r="AQ81" s="208" t="str">
        <f t="shared" si="49"/>
        <v>F</v>
      </c>
      <c r="AR81" s="208" t="str">
        <f t="shared" si="49"/>
        <v>F</v>
      </c>
      <c r="AS81" s="208" t="str">
        <f t="shared" si="49"/>
        <v>F</v>
      </c>
      <c r="AT81" s="208" t="str">
        <f t="shared" si="49"/>
        <v>F</v>
      </c>
      <c r="AU81" s="209" t="str">
        <f t="shared" si="49"/>
        <v>F</v>
      </c>
      <c r="AV81" s="208" t="str">
        <f t="shared" si="49"/>
        <v>F</v>
      </c>
      <c r="AW81" s="208" t="str">
        <f t="shared" si="49"/>
        <v>F</v>
      </c>
      <c r="AX81" s="208" t="str">
        <f t="shared" si="49"/>
        <v>F</v>
      </c>
      <c r="AY81" s="208" t="str">
        <f t="shared" si="49"/>
        <v>F</v>
      </c>
      <c r="AZ81" s="208" t="str">
        <f t="shared" si="49"/>
        <v>F</v>
      </c>
      <c r="BA81" s="208" t="str">
        <f t="shared" si="49"/>
        <v>F</v>
      </c>
      <c r="BB81" s="208" t="str">
        <f t="shared" si="49"/>
        <v>F</v>
      </c>
      <c r="BC81" s="208" t="str">
        <f t="shared" si="49"/>
        <v>F</v>
      </c>
      <c r="BD81" s="208" t="str">
        <f t="shared" si="49"/>
        <v>F</v>
      </c>
      <c r="BE81" s="209" t="str">
        <f t="shared" si="49"/>
        <v>F</v>
      </c>
      <c r="BF81" s="208" t="str">
        <f t="shared" si="49"/>
        <v>F</v>
      </c>
      <c r="BG81" s="208" t="str">
        <f t="shared" si="49"/>
        <v>F</v>
      </c>
      <c r="BH81" s="208" t="str">
        <f t="shared" si="49"/>
        <v>F</v>
      </c>
      <c r="BI81" s="208" t="str">
        <f t="shared" si="49"/>
        <v>F</v>
      </c>
      <c r="BJ81" s="208" t="str">
        <f t="shared" si="49"/>
        <v>F</v>
      </c>
      <c r="BK81" s="208" t="str">
        <f t="shared" si="49"/>
        <v>F</v>
      </c>
      <c r="BL81" s="208" t="str">
        <f t="shared" si="49"/>
        <v>F</v>
      </c>
      <c r="BM81" s="208" t="str">
        <f t="shared" si="49"/>
        <v>F</v>
      </c>
      <c r="BN81" s="208" t="str">
        <f t="shared" si="49"/>
        <v>F</v>
      </c>
      <c r="BO81" s="209" t="str">
        <f t="shared" si="49"/>
        <v>F</v>
      </c>
      <c r="BP81" s="208" t="str">
        <f t="shared" si="49"/>
        <v>F</v>
      </c>
      <c r="BQ81" s="208" t="str">
        <f t="shared" si="49"/>
        <v>F</v>
      </c>
      <c r="BR81" s="208" t="str">
        <f t="shared" si="49"/>
        <v>F</v>
      </c>
      <c r="BS81" s="208" t="str">
        <f t="shared" si="49"/>
        <v>F</v>
      </c>
      <c r="BT81" s="208" t="str">
        <f t="shared" ref="BT81:DC81" si="50">IF(AND(BT$3&gt;=$E81,BT$3&lt;=$F81),"T","F")</f>
        <v>F</v>
      </c>
      <c r="BU81" s="208" t="str">
        <f t="shared" si="50"/>
        <v>F</v>
      </c>
      <c r="BV81" s="208" t="str">
        <f t="shared" si="50"/>
        <v>F</v>
      </c>
      <c r="BW81" s="208" t="str">
        <f t="shared" si="50"/>
        <v>F</v>
      </c>
      <c r="BX81" s="208" t="str">
        <f t="shared" si="50"/>
        <v>F</v>
      </c>
      <c r="BY81" s="209" t="str">
        <f t="shared" si="50"/>
        <v>F</v>
      </c>
      <c r="BZ81" s="208" t="str">
        <f t="shared" si="50"/>
        <v>F</v>
      </c>
      <c r="CA81" s="208" t="str">
        <f t="shared" si="50"/>
        <v>F</v>
      </c>
      <c r="CB81" s="208" t="str">
        <f t="shared" si="50"/>
        <v>F</v>
      </c>
      <c r="CC81" s="208" t="str">
        <f t="shared" si="50"/>
        <v>F</v>
      </c>
      <c r="CD81" s="208" t="str">
        <f t="shared" si="50"/>
        <v>F</v>
      </c>
      <c r="CE81" s="208" t="str">
        <f t="shared" si="50"/>
        <v>F</v>
      </c>
      <c r="CF81" s="208" t="str">
        <f t="shared" si="50"/>
        <v>F</v>
      </c>
      <c r="CG81" s="208" t="str">
        <f t="shared" si="50"/>
        <v>F</v>
      </c>
      <c r="CH81" s="208" t="str">
        <f t="shared" si="50"/>
        <v>F</v>
      </c>
      <c r="CI81" s="209" t="str">
        <f t="shared" si="50"/>
        <v>F</v>
      </c>
      <c r="CJ81" s="208" t="str">
        <f t="shared" si="50"/>
        <v>F</v>
      </c>
      <c r="CK81" s="208" t="str">
        <f t="shared" si="50"/>
        <v>F</v>
      </c>
      <c r="CL81" s="208" t="str">
        <f t="shared" si="50"/>
        <v>F</v>
      </c>
      <c r="CM81" s="208" t="str">
        <f t="shared" si="50"/>
        <v>F</v>
      </c>
      <c r="CN81" s="208" t="str">
        <f t="shared" si="50"/>
        <v>F</v>
      </c>
      <c r="CO81" s="208" t="str">
        <f t="shared" si="50"/>
        <v>F</v>
      </c>
      <c r="CP81" s="208" t="str">
        <f t="shared" si="50"/>
        <v>F</v>
      </c>
      <c r="CQ81" s="208" t="str">
        <f t="shared" si="50"/>
        <v>F</v>
      </c>
      <c r="CR81" s="208" t="str">
        <f t="shared" si="50"/>
        <v>F</v>
      </c>
      <c r="CS81" s="209" t="str">
        <f t="shared" si="50"/>
        <v>F</v>
      </c>
      <c r="CT81" s="208" t="str">
        <f t="shared" si="50"/>
        <v>F</v>
      </c>
      <c r="CU81" s="208" t="str">
        <f t="shared" si="50"/>
        <v>F</v>
      </c>
      <c r="CV81" s="208" t="str">
        <f t="shared" si="50"/>
        <v>F</v>
      </c>
      <c r="CW81" s="208" t="str">
        <f t="shared" si="50"/>
        <v>F</v>
      </c>
      <c r="CX81" s="208" t="str">
        <f t="shared" si="50"/>
        <v>F</v>
      </c>
      <c r="CY81" s="208" t="str">
        <f t="shared" si="50"/>
        <v>F</v>
      </c>
      <c r="CZ81" s="208" t="str">
        <f t="shared" si="50"/>
        <v>F</v>
      </c>
      <c r="DA81" s="208" t="str">
        <f t="shared" si="50"/>
        <v>F</v>
      </c>
      <c r="DB81" s="208" t="str">
        <f t="shared" si="50"/>
        <v>F</v>
      </c>
      <c r="DC81" s="210" t="str">
        <f t="shared" si="50"/>
        <v>F</v>
      </c>
    </row>
    <row r="82" spans="2:107" x14ac:dyDescent="0.2">
      <c r="B82" s="205"/>
      <c r="C82" s="879"/>
      <c r="D82" s="206"/>
      <c r="E82" s="247"/>
      <c r="F82" s="207"/>
      <c r="G82" s="220"/>
      <c r="H82" s="221"/>
      <c r="I82" s="221"/>
      <c r="J82" s="221"/>
      <c r="K82" s="221"/>
      <c r="L82" s="221"/>
      <c r="M82" s="221"/>
      <c r="N82" s="221"/>
      <c r="O82" s="221"/>
      <c r="P82" s="221"/>
      <c r="Q82" s="222"/>
      <c r="R82" s="221"/>
      <c r="S82" s="221"/>
      <c r="T82" s="221"/>
      <c r="U82" s="221"/>
      <c r="V82" s="221"/>
      <c r="W82" s="221"/>
      <c r="X82" s="221"/>
      <c r="Y82" s="221"/>
      <c r="Z82" s="221"/>
      <c r="AA82" s="222"/>
      <c r="AB82" s="221"/>
      <c r="AC82" s="221"/>
      <c r="AD82" s="221"/>
      <c r="AE82" s="221"/>
      <c r="AF82" s="221"/>
      <c r="AG82" s="221"/>
      <c r="AH82" s="221"/>
      <c r="AI82" s="221"/>
      <c r="AJ82" s="221"/>
      <c r="AK82" s="222"/>
      <c r="AL82" s="221"/>
      <c r="AM82" s="221"/>
      <c r="AN82" s="221"/>
      <c r="AO82" s="221"/>
      <c r="AP82" s="221"/>
      <c r="AQ82" s="221"/>
      <c r="AR82" s="221"/>
      <c r="AS82" s="221"/>
      <c r="AT82" s="221"/>
      <c r="AU82" s="222"/>
      <c r="AV82" s="221"/>
      <c r="AW82" s="221"/>
      <c r="AX82" s="221"/>
      <c r="AY82" s="221"/>
      <c r="AZ82" s="221"/>
      <c r="BA82" s="221"/>
      <c r="BB82" s="221"/>
      <c r="BC82" s="221"/>
      <c r="BD82" s="221"/>
      <c r="BE82" s="222"/>
      <c r="BF82" s="221"/>
      <c r="BG82" s="221"/>
      <c r="BH82" s="221"/>
      <c r="BI82" s="221"/>
      <c r="BJ82" s="221"/>
      <c r="BK82" s="221"/>
      <c r="BL82" s="221"/>
      <c r="BM82" s="221"/>
      <c r="BN82" s="221"/>
      <c r="BO82" s="222"/>
      <c r="BP82" s="221"/>
      <c r="BQ82" s="221"/>
      <c r="BR82" s="221"/>
      <c r="BS82" s="221"/>
      <c r="BT82" s="221"/>
      <c r="BU82" s="221"/>
      <c r="BV82" s="221"/>
      <c r="BW82" s="221"/>
      <c r="BX82" s="221"/>
      <c r="BY82" s="222"/>
      <c r="BZ82" s="221"/>
      <c r="CA82" s="221"/>
      <c r="CB82" s="221"/>
      <c r="CC82" s="221"/>
      <c r="CD82" s="221"/>
      <c r="CE82" s="221"/>
      <c r="CF82" s="221"/>
      <c r="CG82" s="221"/>
      <c r="CH82" s="221"/>
      <c r="CI82" s="222"/>
      <c r="CJ82" s="221"/>
      <c r="CK82" s="221"/>
      <c r="CL82" s="221"/>
      <c r="CM82" s="221"/>
      <c r="CN82" s="221"/>
      <c r="CO82" s="221"/>
      <c r="CP82" s="221"/>
      <c r="CQ82" s="221"/>
      <c r="CR82" s="221"/>
      <c r="CS82" s="222"/>
      <c r="CT82" s="221"/>
      <c r="CU82" s="221"/>
      <c r="CV82" s="221"/>
      <c r="CW82" s="221"/>
      <c r="CX82" s="221"/>
      <c r="CY82" s="221"/>
      <c r="CZ82" s="221"/>
      <c r="DA82" s="221"/>
      <c r="DB82" s="221"/>
      <c r="DC82" s="223"/>
    </row>
    <row r="83" spans="2:107" x14ac:dyDescent="0.2">
      <c r="B83" s="205"/>
      <c r="C83" s="879"/>
      <c r="D83" s="206" t="str">
        <f>'Technologies Matrix'!B58</f>
        <v>Conventional Treatment</v>
      </c>
      <c r="E83" s="247">
        <f>'Technologies Matrix'!S58</f>
        <v>61.904761904761905</v>
      </c>
      <c r="F83" s="207">
        <f>'Technologies Matrix'!T58</f>
        <v>61.904761904761905</v>
      </c>
      <c r="G83" s="209" t="str">
        <f>IF(AND(G$3&gt;=$E83,G$3&lt;=$F83),"T","F")</f>
        <v>F</v>
      </c>
      <c r="H83" s="208" t="str">
        <f t="shared" ref="H83:BS83" si="51">IF(AND(H$3&gt;=$E83,H$3&lt;=$F83),"T","F")</f>
        <v>F</v>
      </c>
      <c r="I83" s="208" t="str">
        <f t="shared" si="51"/>
        <v>F</v>
      </c>
      <c r="J83" s="208" t="str">
        <f t="shared" si="51"/>
        <v>F</v>
      </c>
      <c r="K83" s="208" t="str">
        <f t="shared" si="51"/>
        <v>F</v>
      </c>
      <c r="L83" s="208" t="str">
        <f t="shared" si="51"/>
        <v>F</v>
      </c>
      <c r="M83" s="208" t="str">
        <f t="shared" si="51"/>
        <v>F</v>
      </c>
      <c r="N83" s="208" t="str">
        <f t="shared" si="51"/>
        <v>F</v>
      </c>
      <c r="O83" s="208" t="str">
        <f t="shared" si="51"/>
        <v>F</v>
      </c>
      <c r="P83" s="208" t="str">
        <f t="shared" si="51"/>
        <v>F</v>
      </c>
      <c r="Q83" s="209" t="str">
        <f t="shared" si="51"/>
        <v>F</v>
      </c>
      <c r="R83" s="208" t="str">
        <f t="shared" si="51"/>
        <v>F</v>
      </c>
      <c r="S83" s="208" t="str">
        <f t="shared" si="51"/>
        <v>F</v>
      </c>
      <c r="T83" s="208" t="str">
        <f t="shared" si="51"/>
        <v>F</v>
      </c>
      <c r="U83" s="208" t="str">
        <f t="shared" si="51"/>
        <v>F</v>
      </c>
      <c r="V83" s="208" t="str">
        <f t="shared" si="51"/>
        <v>F</v>
      </c>
      <c r="W83" s="208" t="str">
        <f t="shared" si="51"/>
        <v>F</v>
      </c>
      <c r="X83" s="208" t="str">
        <f t="shared" si="51"/>
        <v>F</v>
      </c>
      <c r="Y83" s="208" t="str">
        <f t="shared" si="51"/>
        <v>F</v>
      </c>
      <c r="Z83" s="208" t="str">
        <f t="shared" si="51"/>
        <v>F</v>
      </c>
      <c r="AA83" s="209" t="str">
        <f t="shared" si="51"/>
        <v>F</v>
      </c>
      <c r="AB83" s="208" t="str">
        <f t="shared" si="51"/>
        <v>F</v>
      </c>
      <c r="AC83" s="208" t="str">
        <f t="shared" si="51"/>
        <v>F</v>
      </c>
      <c r="AD83" s="208" t="str">
        <f t="shared" si="51"/>
        <v>F</v>
      </c>
      <c r="AE83" s="208" t="str">
        <f t="shared" si="51"/>
        <v>F</v>
      </c>
      <c r="AF83" s="208" t="str">
        <f t="shared" si="51"/>
        <v>F</v>
      </c>
      <c r="AG83" s="208" t="str">
        <f t="shared" si="51"/>
        <v>F</v>
      </c>
      <c r="AH83" s="208" t="str">
        <f t="shared" si="51"/>
        <v>F</v>
      </c>
      <c r="AI83" s="208" t="str">
        <f t="shared" si="51"/>
        <v>F</v>
      </c>
      <c r="AJ83" s="208" t="str">
        <f t="shared" si="51"/>
        <v>F</v>
      </c>
      <c r="AK83" s="209" t="str">
        <f t="shared" si="51"/>
        <v>F</v>
      </c>
      <c r="AL83" s="208" t="str">
        <f t="shared" si="51"/>
        <v>F</v>
      </c>
      <c r="AM83" s="208" t="str">
        <f t="shared" si="51"/>
        <v>F</v>
      </c>
      <c r="AN83" s="208" t="str">
        <f t="shared" si="51"/>
        <v>F</v>
      </c>
      <c r="AO83" s="208" t="str">
        <f t="shared" si="51"/>
        <v>F</v>
      </c>
      <c r="AP83" s="208" t="str">
        <f t="shared" si="51"/>
        <v>F</v>
      </c>
      <c r="AQ83" s="208" t="str">
        <f t="shared" si="51"/>
        <v>F</v>
      </c>
      <c r="AR83" s="208" t="str">
        <f t="shared" si="51"/>
        <v>F</v>
      </c>
      <c r="AS83" s="208" t="str">
        <f t="shared" si="51"/>
        <v>F</v>
      </c>
      <c r="AT83" s="208" t="str">
        <f t="shared" si="51"/>
        <v>F</v>
      </c>
      <c r="AU83" s="209" t="str">
        <f t="shared" si="51"/>
        <v>F</v>
      </c>
      <c r="AV83" s="208" t="str">
        <f t="shared" si="51"/>
        <v>F</v>
      </c>
      <c r="AW83" s="208" t="str">
        <f t="shared" si="51"/>
        <v>F</v>
      </c>
      <c r="AX83" s="208" t="str">
        <f t="shared" si="51"/>
        <v>F</v>
      </c>
      <c r="AY83" s="208" t="str">
        <f t="shared" si="51"/>
        <v>F</v>
      </c>
      <c r="AZ83" s="208" t="str">
        <f t="shared" si="51"/>
        <v>F</v>
      </c>
      <c r="BA83" s="208" t="str">
        <f t="shared" si="51"/>
        <v>F</v>
      </c>
      <c r="BB83" s="208" t="str">
        <f t="shared" si="51"/>
        <v>F</v>
      </c>
      <c r="BC83" s="208" t="str">
        <f t="shared" si="51"/>
        <v>F</v>
      </c>
      <c r="BD83" s="208" t="str">
        <f t="shared" si="51"/>
        <v>F</v>
      </c>
      <c r="BE83" s="209" t="str">
        <f t="shared" si="51"/>
        <v>F</v>
      </c>
      <c r="BF83" s="208" t="str">
        <f t="shared" si="51"/>
        <v>F</v>
      </c>
      <c r="BG83" s="208" t="str">
        <f t="shared" si="51"/>
        <v>F</v>
      </c>
      <c r="BH83" s="208" t="str">
        <f t="shared" si="51"/>
        <v>F</v>
      </c>
      <c r="BI83" s="208" t="str">
        <f t="shared" si="51"/>
        <v>F</v>
      </c>
      <c r="BJ83" s="208" t="str">
        <f t="shared" si="51"/>
        <v>F</v>
      </c>
      <c r="BK83" s="208" t="str">
        <f t="shared" si="51"/>
        <v>F</v>
      </c>
      <c r="BL83" s="208" t="str">
        <f t="shared" si="51"/>
        <v>F</v>
      </c>
      <c r="BM83" s="208" t="str">
        <f t="shared" si="51"/>
        <v>F</v>
      </c>
      <c r="BN83" s="208" t="str">
        <f t="shared" si="51"/>
        <v>F</v>
      </c>
      <c r="BO83" s="209" t="str">
        <f t="shared" si="51"/>
        <v>F</v>
      </c>
      <c r="BP83" s="208" t="str">
        <f t="shared" si="51"/>
        <v>F</v>
      </c>
      <c r="BQ83" s="208" t="str">
        <f t="shared" si="51"/>
        <v>F</v>
      </c>
      <c r="BR83" s="208" t="str">
        <f t="shared" si="51"/>
        <v>F</v>
      </c>
      <c r="BS83" s="208" t="str">
        <f t="shared" si="51"/>
        <v>F</v>
      </c>
      <c r="BT83" s="208" t="str">
        <f t="shared" ref="BT83:DC83" si="52">IF(AND(BT$3&gt;=$E83,BT$3&lt;=$F83),"T","F")</f>
        <v>F</v>
      </c>
      <c r="BU83" s="208" t="str">
        <f t="shared" si="52"/>
        <v>F</v>
      </c>
      <c r="BV83" s="208" t="str">
        <f t="shared" si="52"/>
        <v>F</v>
      </c>
      <c r="BW83" s="208" t="str">
        <f t="shared" si="52"/>
        <v>F</v>
      </c>
      <c r="BX83" s="208" t="str">
        <f t="shared" si="52"/>
        <v>F</v>
      </c>
      <c r="BY83" s="209" t="str">
        <f t="shared" si="52"/>
        <v>F</v>
      </c>
      <c r="BZ83" s="208" t="str">
        <f t="shared" si="52"/>
        <v>F</v>
      </c>
      <c r="CA83" s="208" t="str">
        <f t="shared" si="52"/>
        <v>F</v>
      </c>
      <c r="CB83" s="208" t="str">
        <f t="shared" si="52"/>
        <v>F</v>
      </c>
      <c r="CC83" s="208" t="str">
        <f t="shared" si="52"/>
        <v>F</v>
      </c>
      <c r="CD83" s="208" t="str">
        <f t="shared" si="52"/>
        <v>F</v>
      </c>
      <c r="CE83" s="208" t="str">
        <f t="shared" si="52"/>
        <v>F</v>
      </c>
      <c r="CF83" s="208" t="str">
        <f t="shared" si="52"/>
        <v>F</v>
      </c>
      <c r="CG83" s="208" t="str">
        <f t="shared" si="52"/>
        <v>F</v>
      </c>
      <c r="CH83" s="208" t="str">
        <f t="shared" si="52"/>
        <v>F</v>
      </c>
      <c r="CI83" s="209" t="str">
        <f t="shared" si="52"/>
        <v>F</v>
      </c>
      <c r="CJ83" s="208" t="str">
        <f t="shared" si="52"/>
        <v>F</v>
      </c>
      <c r="CK83" s="208" t="str">
        <f t="shared" si="52"/>
        <v>F</v>
      </c>
      <c r="CL83" s="208" t="str">
        <f t="shared" si="52"/>
        <v>F</v>
      </c>
      <c r="CM83" s="208" t="str">
        <f t="shared" si="52"/>
        <v>F</v>
      </c>
      <c r="CN83" s="208" t="str">
        <f t="shared" si="52"/>
        <v>F</v>
      </c>
      <c r="CO83" s="208" t="str">
        <f t="shared" si="52"/>
        <v>F</v>
      </c>
      <c r="CP83" s="208" t="str">
        <f t="shared" si="52"/>
        <v>F</v>
      </c>
      <c r="CQ83" s="208" t="str">
        <f t="shared" si="52"/>
        <v>F</v>
      </c>
      <c r="CR83" s="208" t="str">
        <f t="shared" si="52"/>
        <v>F</v>
      </c>
      <c r="CS83" s="209" t="str">
        <f t="shared" si="52"/>
        <v>F</v>
      </c>
      <c r="CT83" s="208" t="str">
        <f t="shared" si="52"/>
        <v>F</v>
      </c>
      <c r="CU83" s="208" t="str">
        <f t="shared" si="52"/>
        <v>F</v>
      </c>
      <c r="CV83" s="208" t="str">
        <f t="shared" si="52"/>
        <v>F</v>
      </c>
      <c r="CW83" s="208" t="str">
        <f t="shared" si="52"/>
        <v>F</v>
      </c>
      <c r="CX83" s="208" t="str">
        <f t="shared" si="52"/>
        <v>F</v>
      </c>
      <c r="CY83" s="208" t="str">
        <f t="shared" si="52"/>
        <v>F</v>
      </c>
      <c r="CZ83" s="208" t="str">
        <f t="shared" si="52"/>
        <v>F</v>
      </c>
      <c r="DA83" s="208" t="str">
        <f t="shared" si="52"/>
        <v>F</v>
      </c>
      <c r="DB83" s="208" t="str">
        <f t="shared" si="52"/>
        <v>F</v>
      </c>
      <c r="DC83" s="210" t="str">
        <f t="shared" si="52"/>
        <v>F</v>
      </c>
    </row>
    <row r="84" spans="2:107" x14ac:dyDescent="0.2">
      <c r="B84" s="205"/>
      <c r="C84" s="879"/>
      <c r="D84" s="206"/>
      <c r="E84" s="247"/>
      <c r="F84" s="207"/>
      <c r="G84" s="220"/>
      <c r="H84" s="221"/>
      <c r="I84" s="221"/>
      <c r="J84" s="221"/>
      <c r="K84" s="221"/>
      <c r="L84" s="221"/>
      <c r="M84" s="221"/>
      <c r="N84" s="221"/>
      <c r="O84" s="221"/>
      <c r="P84" s="221"/>
      <c r="Q84" s="222"/>
      <c r="R84" s="221"/>
      <c r="S84" s="221"/>
      <c r="T84" s="221"/>
      <c r="U84" s="221"/>
      <c r="V84" s="221"/>
      <c r="W84" s="221"/>
      <c r="X84" s="221"/>
      <c r="Y84" s="221"/>
      <c r="Z84" s="221"/>
      <c r="AA84" s="222"/>
      <c r="AB84" s="221"/>
      <c r="AC84" s="221"/>
      <c r="AD84" s="221"/>
      <c r="AE84" s="221"/>
      <c r="AF84" s="221"/>
      <c r="AG84" s="221"/>
      <c r="AH84" s="221"/>
      <c r="AI84" s="221"/>
      <c r="AJ84" s="221"/>
      <c r="AK84" s="222"/>
      <c r="AL84" s="221"/>
      <c r="AM84" s="221"/>
      <c r="AN84" s="221"/>
      <c r="AO84" s="221"/>
      <c r="AP84" s="221"/>
      <c r="AQ84" s="221"/>
      <c r="AR84" s="221"/>
      <c r="AS84" s="221"/>
      <c r="AT84" s="221"/>
      <c r="AU84" s="222"/>
      <c r="AV84" s="221"/>
      <c r="AW84" s="221"/>
      <c r="AX84" s="221"/>
      <c r="AY84" s="221"/>
      <c r="AZ84" s="221"/>
      <c r="BA84" s="221"/>
      <c r="BB84" s="221"/>
      <c r="BC84" s="221"/>
      <c r="BD84" s="221"/>
      <c r="BE84" s="222"/>
      <c r="BF84" s="221"/>
      <c r="BG84" s="221"/>
      <c r="BH84" s="221"/>
      <c r="BI84" s="221"/>
      <c r="BJ84" s="221"/>
      <c r="BK84" s="221"/>
      <c r="BL84" s="221"/>
      <c r="BM84" s="221"/>
      <c r="BN84" s="221"/>
      <c r="BO84" s="222"/>
      <c r="BP84" s="221"/>
      <c r="BQ84" s="221"/>
      <c r="BR84" s="221"/>
      <c r="BS84" s="221"/>
      <c r="BT84" s="221"/>
      <c r="BU84" s="221"/>
      <c r="BV84" s="221"/>
      <c r="BW84" s="221"/>
      <c r="BX84" s="221"/>
      <c r="BY84" s="222"/>
      <c r="BZ84" s="221"/>
      <c r="CA84" s="221"/>
      <c r="CB84" s="221"/>
      <c r="CC84" s="221"/>
      <c r="CD84" s="221"/>
      <c r="CE84" s="221"/>
      <c r="CF84" s="221"/>
      <c r="CG84" s="221"/>
      <c r="CH84" s="221"/>
      <c r="CI84" s="222"/>
      <c r="CJ84" s="221"/>
      <c r="CK84" s="221"/>
      <c r="CL84" s="221"/>
      <c r="CM84" s="221"/>
      <c r="CN84" s="221"/>
      <c r="CO84" s="221"/>
      <c r="CP84" s="221"/>
      <c r="CQ84" s="221"/>
      <c r="CR84" s="221"/>
      <c r="CS84" s="222"/>
      <c r="CT84" s="221"/>
      <c r="CU84" s="221"/>
      <c r="CV84" s="221"/>
      <c r="CW84" s="221"/>
      <c r="CX84" s="221"/>
      <c r="CY84" s="221"/>
      <c r="CZ84" s="221"/>
      <c r="DA84" s="221"/>
      <c r="DB84" s="221"/>
      <c r="DC84" s="223"/>
    </row>
    <row r="85" spans="2:107" x14ac:dyDescent="0.2">
      <c r="B85" s="205"/>
      <c r="C85" s="879"/>
      <c r="D85" s="206" t="str">
        <f>'Technologies Matrix'!B59</f>
        <v>Advanced Treatment</v>
      </c>
      <c r="E85" s="247">
        <f>'Technologies Matrix'!S59</f>
        <v>80.952380952380949</v>
      </c>
      <c r="F85" s="207">
        <f>'Technologies Matrix'!T59</f>
        <v>80.952380952380949</v>
      </c>
      <c r="G85" s="209" t="str">
        <f>IF(AND(G$3&gt;=$E85,G$3&lt;=$F85),"T","F")</f>
        <v>F</v>
      </c>
      <c r="H85" s="208" t="str">
        <f t="shared" ref="H85:BS85" si="53">IF(AND(H$3&gt;=$E85,H$3&lt;=$F85),"T","F")</f>
        <v>F</v>
      </c>
      <c r="I85" s="208" t="str">
        <f t="shared" si="53"/>
        <v>F</v>
      </c>
      <c r="J85" s="208" t="str">
        <f t="shared" si="53"/>
        <v>F</v>
      </c>
      <c r="K85" s="208" t="str">
        <f t="shared" si="53"/>
        <v>F</v>
      </c>
      <c r="L85" s="208" t="str">
        <f t="shared" si="53"/>
        <v>F</v>
      </c>
      <c r="M85" s="208" t="str">
        <f t="shared" si="53"/>
        <v>F</v>
      </c>
      <c r="N85" s="208" t="str">
        <f t="shared" si="53"/>
        <v>F</v>
      </c>
      <c r="O85" s="208" t="str">
        <f t="shared" si="53"/>
        <v>F</v>
      </c>
      <c r="P85" s="208" t="str">
        <f t="shared" si="53"/>
        <v>F</v>
      </c>
      <c r="Q85" s="209" t="str">
        <f t="shared" si="53"/>
        <v>F</v>
      </c>
      <c r="R85" s="208" t="str">
        <f t="shared" si="53"/>
        <v>F</v>
      </c>
      <c r="S85" s="208" t="str">
        <f t="shared" si="53"/>
        <v>F</v>
      </c>
      <c r="T85" s="208" t="str">
        <f t="shared" si="53"/>
        <v>F</v>
      </c>
      <c r="U85" s="208" t="str">
        <f t="shared" si="53"/>
        <v>F</v>
      </c>
      <c r="V85" s="208" t="str">
        <f t="shared" si="53"/>
        <v>F</v>
      </c>
      <c r="W85" s="208" t="str">
        <f t="shared" si="53"/>
        <v>F</v>
      </c>
      <c r="X85" s="208" t="str">
        <f t="shared" si="53"/>
        <v>F</v>
      </c>
      <c r="Y85" s="208" t="str">
        <f t="shared" si="53"/>
        <v>F</v>
      </c>
      <c r="Z85" s="208" t="str">
        <f t="shared" si="53"/>
        <v>F</v>
      </c>
      <c r="AA85" s="209" t="str">
        <f t="shared" si="53"/>
        <v>F</v>
      </c>
      <c r="AB85" s="208" t="str">
        <f t="shared" si="53"/>
        <v>F</v>
      </c>
      <c r="AC85" s="208" t="str">
        <f t="shared" si="53"/>
        <v>F</v>
      </c>
      <c r="AD85" s="208" t="str">
        <f t="shared" si="53"/>
        <v>F</v>
      </c>
      <c r="AE85" s="208" t="str">
        <f t="shared" si="53"/>
        <v>F</v>
      </c>
      <c r="AF85" s="208" t="str">
        <f t="shared" si="53"/>
        <v>F</v>
      </c>
      <c r="AG85" s="208" t="str">
        <f t="shared" si="53"/>
        <v>F</v>
      </c>
      <c r="AH85" s="208" t="str">
        <f t="shared" si="53"/>
        <v>F</v>
      </c>
      <c r="AI85" s="208" t="str">
        <f t="shared" si="53"/>
        <v>F</v>
      </c>
      <c r="AJ85" s="208" t="str">
        <f t="shared" si="53"/>
        <v>F</v>
      </c>
      <c r="AK85" s="209" t="str">
        <f t="shared" si="53"/>
        <v>F</v>
      </c>
      <c r="AL85" s="208" t="str">
        <f t="shared" si="53"/>
        <v>F</v>
      </c>
      <c r="AM85" s="208" t="str">
        <f t="shared" si="53"/>
        <v>F</v>
      </c>
      <c r="AN85" s="208" t="str">
        <f t="shared" si="53"/>
        <v>F</v>
      </c>
      <c r="AO85" s="208" t="str">
        <f t="shared" si="53"/>
        <v>F</v>
      </c>
      <c r="AP85" s="208" t="str">
        <f t="shared" si="53"/>
        <v>F</v>
      </c>
      <c r="AQ85" s="208" t="str">
        <f t="shared" si="53"/>
        <v>F</v>
      </c>
      <c r="AR85" s="208" t="str">
        <f t="shared" si="53"/>
        <v>F</v>
      </c>
      <c r="AS85" s="208" t="str">
        <f t="shared" si="53"/>
        <v>F</v>
      </c>
      <c r="AT85" s="208" t="str">
        <f t="shared" si="53"/>
        <v>F</v>
      </c>
      <c r="AU85" s="209" t="str">
        <f t="shared" si="53"/>
        <v>F</v>
      </c>
      <c r="AV85" s="208" t="str">
        <f t="shared" si="53"/>
        <v>F</v>
      </c>
      <c r="AW85" s="208" t="str">
        <f t="shared" si="53"/>
        <v>F</v>
      </c>
      <c r="AX85" s="208" t="str">
        <f t="shared" si="53"/>
        <v>F</v>
      </c>
      <c r="AY85" s="208" t="str">
        <f t="shared" si="53"/>
        <v>F</v>
      </c>
      <c r="AZ85" s="208" t="str">
        <f t="shared" si="53"/>
        <v>F</v>
      </c>
      <c r="BA85" s="208" t="str">
        <f t="shared" si="53"/>
        <v>F</v>
      </c>
      <c r="BB85" s="208" t="str">
        <f t="shared" si="53"/>
        <v>F</v>
      </c>
      <c r="BC85" s="208" t="str">
        <f t="shared" si="53"/>
        <v>F</v>
      </c>
      <c r="BD85" s="208" t="str">
        <f t="shared" si="53"/>
        <v>F</v>
      </c>
      <c r="BE85" s="209" t="str">
        <f t="shared" si="53"/>
        <v>F</v>
      </c>
      <c r="BF85" s="208" t="str">
        <f t="shared" si="53"/>
        <v>F</v>
      </c>
      <c r="BG85" s="208" t="str">
        <f t="shared" si="53"/>
        <v>F</v>
      </c>
      <c r="BH85" s="208" t="str">
        <f t="shared" si="53"/>
        <v>F</v>
      </c>
      <c r="BI85" s="208" t="str">
        <f t="shared" si="53"/>
        <v>F</v>
      </c>
      <c r="BJ85" s="208" t="str">
        <f t="shared" si="53"/>
        <v>F</v>
      </c>
      <c r="BK85" s="208" t="str">
        <f t="shared" si="53"/>
        <v>F</v>
      </c>
      <c r="BL85" s="208" t="str">
        <f t="shared" si="53"/>
        <v>F</v>
      </c>
      <c r="BM85" s="208" t="str">
        <f t="shared" si="53"/>
        <v>F</v>
      </c>
      <c r="BN85" s="208" t="str">
        <f t="shared" si="53"/>
        <v>F</v>
      </c>
      <c r="BO85" s="209" t="str">
        <f t="shared" si="53"/>
        <v>F</v>
      </c>
      <c r="BP85" s="208" t="str">
        <f t="shared" si="53"/>
        <v>F</v>
      </c>
      <c r="BQ85" s="208" t="str">
        <f t="shared" si="53"/>
        <v>F</v>
      </c>
      <c r="BR85" s="208" t="str">
        <f t="shared" si="53"/>
        <v>F</v>
      </c>
      <c r="BS85" s="208" t="str">
        <f t="shared" si="53"/>
        <v>F</v>
      </c>
      <c r="BT85" s="208" t="str">
        <f t="shared" ref="BT85:DC85" si="54">IF(AND(BT$3&gt;=$E85,BT$3&lt;=$F85),"T","F")</f>
        <v>F</v>
      </c>
      <c r="BU85" s="208" t="str">
        <f t="shared" si="54"/>
        <v>F</v>
      </c>
      <c r="BV85" s="208" t="str">
        <f t="shared" si="54"/>
        <v>F</v>
      </c>
      <c r="BW85" s="208" t="str">
        <f t="shared" si="54"/>
        <v>F</v>
      </c>
      <c r="BX85" s="208" t="str">
        <f t="shared" si="54"/>
        <v>F</v>
      </c>
      <c r="BY85" s="209" t="str">
        <f t="shared" si="54"/>
        <v>F</v>
      </c>
      <c r="BZ85" s="208" t="str">
        <f t="shared" si="54"/>
        <v>F</v>
      </c>
      <c r="CA85" s="208" t="str">
        <f t="shared" si="54"/>
        <v>F</v>
      </c>
      <c r="CB85" s="208" t="str">
        <f t="shared" si="54"/>
        <v>F</v>
      </c>
      <c r="CC85" s="208" t="str">
        <f t="shared" si="54"/>
        <v>F</v>
      </c>
      <c r="CD85" s="208" t="str">
        <f t="shared" si="54"/>
        <v>F</v>
      </c>
      <c r="CE85" s="208" t="str">
        <f t="shared" si="54"/>
        <v>F</v>
      </c>
      <c r="CF85" s="208" t="str">
        <f t="shared" si="54"/>
        <v>F</v>
      </c>
      <c r="CG85" s="208" t="str">
        <f t="shared" si="54"/>
        <v>F</v>
      </c>
      <c r="CH85" s="208" t="str">
        <f t="shared" si="54"/>
        <v>F</v>
      </c>
      <c r="CI85" s="209" t="str">
        <f t="shared" si="54"/>
        <v>F</v>
      </c>
      <c r="CJ85" s="208" t="str">
        <f t="shared" si="54"/>
        <v>F</v>
      </c>
      <c r="CK85" s="208" t="str">
        <f t="shared" si="54"/>
        <v>F</v>
      </c>
      <c r="CL85" s="208" t="str">
        <f t="shared" si="54"/>
        <v>F</v>
      </c>
      <c r="CM85" s="208" t="str">
        <f t="shared" si="54"/>
        <v>F</v>
      </c>
      <c r="CN85" s="208" t="str">
        <f t="shared" si="54"/>
        <v>F</v>
      </c>
      <c r="CO85" s="208" t="str">
        <f t="shared" si="54"/>
        <v>F</v>
      </c>
      <c r="CP85" s="208" t="str">
        <f t="shared" si="54"/>
        <v>F</v>
      </c>
      <c r="CQ85" s="208" t="str">
        <f t="shared" si="54"/>
        <v>F</v>
      </c>
      <c r="CR85" s="208" t="str">
        <f t="shared" si="54"/>
        <v>F</v>
      </c>
      <c r="CS85" s="209" t="str">
        <f t="shared" si="54"/>
        <v>F</v>
      </c>
      <c r="CT85" s="208" t="str">
        <f t="shared" si="54"/>
        <v>F</v>
      </c>
      <c r="CU85" s="208" t="str">
        <f t="shared" si="54"/>
        <v>F</v>
      </c>
      <c r="CV85" s="208" t="str">
        <f t="shared" si="54"/>
        <v>F</v>
      </c>
      <c r="CW85" s="208" t="str">
        <f t="shared" si="54"/>
        <v>F</v>
      </c>
      <c r="CX85" s="208" t="str">
        <f t="shared" si="54"/>
        <v>F</v>
      </c>
      <c r="CY85" s="208" t="str">
        <f t="shared" si="54"/>
        <v>F</v>
      </c>
      <c r="CZ85" s="208" t="str">
        <f t="shared" si="54"/>
        <v>F</v>
      </c>
      <c r="DA85" s="208" t="str">
        <f t="shared" si="54"/>
        <v>F</v>
      </c>
      <c r="DB85" s="208" t="str">
        <f t="shared" si="54"/>
        <v>F</v>
      </c>
      <c r="DC85" s="210" t="str">
        <f t="shared" si="54"/>
        <v>F</v>
      </c>
    </row>
    <row r="86" spans="2:107" x14ac:dyDescent="0.2">
      <c r="B86" s="205"/>
      <c r="C86" s="879"/>
      <c r="D86" s="206"/>
      <c r="E86" s="247"/>
      <c r="F86" s="207"/>
      <c r="G86" s="220"/>
      <c r="H86" s="221"/>
      <c r="I86" s="221"/>
      <c r="J86" s="221"/>
      <c r="K86" s="221"/>
      <c r="L86" s="221"/>
      <c r="M86" s="221"/>
      <c r="N86" s="221"/>
      <c r="O86" s="221"/>
      <c r="P86" s="221"/>
      <c r="Q86" s="222"/>
      <c r="R86" s="221"/>
      <c r="S86" s="221"/>
      <c r="T86" s="221"/>
      <c r="U86" s="221"/>
      <c r="V86" s="221"/>
      <c r="W86" s="221"/>
      <c r="X86" s="221"/>
      <c r="Y86" s="221"/>
      <c r="Z86" s="221"/>
      <c r="AA86" s="222"/>
      <c r="AB86" s="221"/>
      <c r="AC86" s="221"/>
      <c r="AD86" s="221"/>
      <c r="AE86" s="221"/>
      <c r="AF86" s="221"/>
      <c r="AG86" s="221"/>
      <c r="AH86" s="221"/>
      <c r="AI86" s="221"/>
      <c r="AJ86" s="221"/>
      <c r="AK86" s="222"/>
      <c r="AL86" s="221"/>
      <c r="AM86" s="221"/>
      <c r="AN86" s="221"/>
      <c r="AO86" s="221"/>
      <c r="AP86" s="221"/>
      <c r="AQ86" s="221"/>
      <c r="AR86" s="221"/>
      <c r="AS86" s="221"/>
      <c r="AT86" s="221"/>
      <c r="AU86" s="222"/>
      <c r="AV86" s="221"/>
      <c r="AW86" s="221"/>
      <c r="AX86" s="221"/>
      <c r="AY86" s="221"/>
      <c r="AZ86" s="221"/>
      <c r="BA86" s="221"/>
      <c r="BB86" s="221"/>
      <c r="BC86" s="221"/>
      <c r="BD86" s="221"/>
      <c r="BE86" s="222"/>
      <c r="BF86" s="221"/>
      <c r="BG86" s="221"/>
      <c r="BH86" s="221"/>
      <c r="BI86" s="221"/>
      <c r="BJ86" s="221"/>
      <c r="BK86" s="221"/>
      <c r="BL86" s="221"/>
      <c r="BM86" s="221"/>
      <c r="BN86" s="221"/>
      <c r="BO86" s="222"/>
      <c r="BP86" s="221"/>
      <c r="BQ86" s="221"/>
      <c r="BR86" s="221"/>
      <c r="BS86" s="221"/>
      <c r="BT86" s="221"/>
      <c r="BU86" s="221"/>
      <c r="BV86" s="221"/>
      <c r="BW86" s="221"/>
      <c r="BX86" s="221"/>
      <c r="BY86" s="222"/>
      <c r="BZ86" s="221"/>
      <c r="CA86" s="221"/>
      <c r="CB86" s="221"/>
      <c r="CC86" s="221"/>
      <c r="CD86" s="221"/>
      <c r="CE86" s="221"/>
      <c r="CF86" s="221"/>
      <c r="CG86" s="221"/>
      <c r="CH86" s="221"/>
      <c r="CI86" s="222"/>
      <c r="CJ86" s="221"/>
      <c r="CK86" s="221"/>
      <c r="CL86" s="221"/>
      <c r="CM86" s="221"/>
      <c r="CN86" s="221"/>
      <c r="CO86" s="221"/>
      <c r="CP86" s="221"/>
      <c r="CQ86" s="221"/>
      <c r="CR86" s="221"/>
      <c r="CS86" s="222"/>
      <c r="CT86" s="221"/>
      <c r="CU86" s="221"/>
      <c r="CV86" s="221"/>
      <c r="CW86" s="221"/>
      <c r="CX86" s="221"/>
      <c r="CY86" s="221"/>
      <c r="CZ86" s="221"/>
      <c r="DA86" s="221"/>
      <c r="DB86" s="221"/>
      <c r="DC86" s="223"/>
    </row>
    <row r="87" spans="2:107" x14ac:dyDescent="0.2">
      <c r="B87" s="205"/>
      <c r="C87" s="879"/>
      <c r="D87" s="206" t="str">
        <f>'Technologies Matrix'!B60</f>
        <v>Satellite Treatment</v>
      </c>
      <c r="E87" s="247">
        <f>'Technologies Matrix'!S60</f>
        <v>69.523809523809518</v>
      </c>
      <c r="F87" s="207">
        <f>'Technologies Matrix'!T60</f>
        <v>69.523809523809518</v>
      </c>
      <c r="G87" s="209" t="str">
        <f>IF(AND(G$3&gt;=$E87,G$3&lt;=$F87),"T","F")</f>
        <v>F</v>
      </c>
      <c r="H87" s="208" t="str">
        <f t="shared" ref="H87:BS87" si="55">IF(AND(H$3&gt;=$E87,H$3&lt;=$F87),"T","F")</f>
        <v>F</v>
      </c>
      <c r="I87" s="208" t="str">
        <f t="shared" si="55"/>
        <v>F</v>
      </c>
      <c r="J87" s="208" t="str">
        <f t="shared" si="55"/>
        <v>F</v>
      </c>
      <c r="K87" s="208" t="str">
        <f t="shared" si="55"/>
        <v>F</v>
      </c>
      <c r="L87" s="208" t="str">
        <f t="shared" si="55"/>
        <v>F</v>
      </c>
      <c r="M87" s="208" t="str">
        <f t="shared" si="55"/>
        <v>F</v>
      </c>
      <c r="N87" s="208" t="str">
        <f t="shared" si="55"/>
        <v>F</v>
      </c>
      <c r="O87" s="208" t="str">
        <f t="shared" si="55"/>
        <v>F</v>
      </c>
      <c r="P87" s="208" t="str">
        <f t="shared" si="55"/>
        <v>F</v>
      </c>
      <c r="Q87" s="209" t="str">
        <f t="shared" si="55"/>
        <v>F</v>
      </c>
      <c r="R87" s="208" t="str">
        <f t="shared" si="55"/>
        <v>F</v>
      </c>
      <c r="S87" s="208" t="str">
        <f t="shared" si="55"/>
        <v>F</v>
      </c>
      <c r="T87" s="208" t="str">
        <f t="shared" si="55"/>
        <v>F</v>
      </c>
      <c r="U87" s="208" t="str">
        <f t="shared" si="55"/>
        <v>F</v>
      </c>
      <c r="V87" s="208" t="str">
        <f t="shared" si="55"/>
        <v>F</v>
      </c>
      <c r="W87" s="208" t="str">
        <f t="shared" si="55"/>
        <v>F</v>
      </c>
      <c r="X87" s="208" t="str">
        <f t="shared" si="55"/>
        <v>F</v>
      </c>
      <c r="Y87" s="208" t="str">
        <f t="shared" si="55"/>
        <v>F</v>
      </c>
      <c r="Z87" s="208" t="str">
        <f t="shared" si="55"/>
        <v>F</v>
      </c>
      <c r="AA87" s="209" t="str">
        <f t="shared" si="55"/>
        <v>F</v>
      </c>
      <c r="AB87" s="208" t="str">
        <f t="shared" si="55"/>
        <v>F</v>
      </c>
      <c r="AC87" s="208" t="str">
        <f t="shared" si="55"/>
        <v>F</v>
      </c>
      <c r="AD87" s="208" t="str">
        <f t="shared" si="55"/>
        <v>F</v>
      </c>
      <c r="AE87" s="208" t="str">
        <f t="shared" si="55"/>
        <v>F</v>
      </c>
      <c r="AF87" s="208" t="str">
        <f t="shared" si="55"/>
        <v>F</v>
      </c>
      <c r="AG87" s="208" t="str">
        <f t="shared" si="55"/>
        <v>F</v>
      </c>
      <c r="AH87" s="208" t="str">
        <f t="shared" si="55"/>
        <v>F</v>
      </c>
      <c r="AI87" s="208" t="str">
        <f t="shared" si="55"/>
        <v>F</v>
      </c>
      <c r="AJ87" s="208" t="str">
        <f t="shared" si="55"/>
        <v>F</v>
      </c>
      <c r="AK87" s="209" t="str">
        <f t="shared" si="55"/>
        <v>F</v>
      </c>
      <c r="AL87" s="208" t="str">
        <f t="shared" si="55"/>
        <v>F</v>
      </c>
      <c r="AM87" s="208" t="str">
        <f t="shared" si="55"/>
        <v>F</v>
      </c>
      <c r="AN87" s="208" t="str">
        <f t="shared" si="55"/>
        <v>F</v>
      </c>
      <c r="AO87" s="208" t="str">
        <f t="shared" si="55"/>
        <v>F</v>
      </c>
      <c r="AP87" s="208" t="str">
        <f t="shared" si="55"/>
        <v>F</v>
      </c>
      <c r="AQ87" s="208" t="str">
        <f t="shared" si="55"/>
        <v>F</v>
      </c>
      <c r="AR87" s="208" t="str">
        <f t="shared" si="55"/>
        <v>F</v>
      </c>
      <c r="AS87" s="208" t="str">
        <f t="shared" si="55"/>
        <v>F</v>
      </c>
      <c r="AT87" s="208" t="str">
        <f t="shared" si="55"/>
        <v>F</v>
      </c>
      <c r="AU87" s="209" t="str">
        <f t="shared" si="55"/>
        <v>F</v>
      </c>
      <c r="AV87" s="208" t="str">
        <f t="shared" si="55"/>
        <v>F</v>
      </c>
      <c r="AW87" s="208" t="str">
        <f t="shared" si="55"/>
        <v>F</v>
      </c>
      <c r="AX87" s="208" t="str">
        <f t="shared" si="55"/>
        <v>F</v>
      </c>
      <c r="AY87" s="208" t="str">
        <f t="shared" si="55"/>
        <v>F</v>
      </c>
      <c r="AZ87" s="208" t="str">
        <f t="shared" si="55"/>
        <v>F</v>
      </c>
      <c r="BA87" s="208" t="str">
        <f t="shared" si="55"/>
        <v>F</v>
      </c>
      <c r="BB87" s="208" t="str">
        <f t="shared" si="55"/>
        <v>F</v>
      </c>
      <c r="BC87" s="208" t="str">
        <f t="shared" si="55"/>
        <v>F</v>
      </c>
      <c r="BD87" s="208" t="str">
        <f t="shared" si="55"/>
        <v>F</v>
      </c>
      <c r="BE87" s="209" t="str">
        <f t="shared" si="55"/>
        <v>F</v>
      </c>
      <c r="BF87" s="208" t="str">
        <f t="shared" si="55"/>
        <v>F</v>
      </c>
      <c r="BG87" s="208" t="str">
        <f t="shared" si="55"/>
        <v>F</v>
      </c>
      <c r="BH87" s="208" t="str">
        <f t="shared" si="55"/>
        <v>F</v>
      </c>
      <c r="BI87" s="208" t="str">
        <f t="shared" si="55"/>
        <v>F</v>
      </c>
      <c r="BJ87" s="208" t="str">
        <f t="shared" si="55"/>
        <v>F</v>
      </c>
      <c r="BK87" s="208" t="str">
        <f t="shared" si="55"/>
        <v>F</v>
      </c>
      <c r="BL87" s="208" t="str">
        <f t="shared" si="55"/>
        <v>F</v>
      </c>
      <c r="BM87" s="208" t="str">
        <f t="shared" si="55"/>
        <v>F</v>
      </c>
      <c r="BN87" s="208" t="str">
        <f t="shared" si="55"/>
        <v>F</v>
      </c>
      <c r="BO87" s="209" t="str">
        <f t="shared" si="55"/>
        <v>F</v>
      </c>
      <c r="BP87" s="208" t="str">
        <f t="shared" si="55"/>
        <v>F</v>
      </c>
      <c r="BQ87" s="208" t="str">
        <f t="shared" si="55"/>
        <v>F</v>
      </c>
      <c r="BR87" s="208" t="str">
        <f t="shared" si="55"/>
        <v>F</v>
      </c>
      <c r="BS87" s="208" t="str">
        <f t="shared" si="55"/>
        <v>F</v>
      </c>
      <c r="BT87" s="208" t="str">
        <f t="shared" ref="BT87:DC87" si="56">IF(AND(BT$3&gt;=$E87,BT$3&lt;=$F87),"T","F")</f>
        <v>F</v>
      </c>
      <c r="BU87" s="208" t="str">
        <f t="shared" si="56"/>
        <v>F</v>
      </c>
      <c r="BV87" s="208" t="str">
        <f t="shared" si="56"/>
        <v>F</v>
      </c>
      <c r="BW87" s="208" t="str">
        <f t="shared" si="56"/>
        <v>F</v>
      </c>
      <c r="BX87" s="208" t="str">
        <f t="shared" si="56"/>
        <v>F</v>
      </c>
      <c r="BY87" s="209" t="str">
        <f t="shared" si="56"/>
        <v>F</v>
      </c>
      <c r="BZ87" s="208" t="str">
        <f t="shared" si="56"/>
        <v>F</v>
      </c>
      <c r="CA87" s="208" t="str">
        <f t="shared" si="56"/>
        <v>F</v>
      </c>
      <c r="CB87" s="208" t="str">
        <f t="shared" si="56"/>
        <v>F</v>
      </c>
      <c r="CC87" s="208" t="str">
        <f t="shared" si="56"/>
        <v>F</v>
      </c>
      <c r="CD87" s="208" t="str">
        <f t="shared" si="56"/>
        <v>F</v>
      </c>
      <c r="CE87" s="208" t="str">
        <f t="shared" si="56"/>
        <v>F</v>
      </c>
      <c r="CF87" s="208" t="str">
        <f t="shared" si="56"/>
        <v>F</v>
      </c>
      <c r="CG87" s="208" t="str">
        <f t="shared" si="56"/>
        <v>F</v>
      </c>
      <c r="CH87" s="208" t="str">
        <f t="shared" si="56"/>
        <v>F</v>
      </c>
      <c r="CI87" s="209" t="str">
        <f t="shared" si="56"/>
        <v>F</v>
      </c>
      <c r="CJ87" s="208" t="str">
        <f t="shared" si="56"/>
        <v>F</v>
      </c>
      <c r="CK87" s="208" t="str">
        <f t="shared" si="56"/>
        <v>F</v>
      </c>
      <c r="CL87" s="208" t="str">
        <f t="shared" si="56"/>
        <v>F</v>
      </c>
      <c r="CM87" s="208" t="str">
        <f t="shared" si="56"/>
        <v>F</v>
      </c>
      <c r="CN87" s="208" t="str">
        <f t="shared" si="56"/>
        <v>F</v>
      </c>
      <c r="CO87" s="208" t="str">
        <f t="shared" si="56"/>
        <v>F</v>
      </c>
      <c r="CP87" s="208" t="str">
        <f t="shared" si="56"/>
        <v>F</v>
      </c>
      <c r="CQ87" s="208" t="str">
        <f t="shared" si="56"/>
        <v>F</v>
      </c>
      <c r="CR87" s="208" t="str">
        <f t="shared" si="56"/>
        <v>F</v>
      </c>
      <c r="CS87" s="209" t="str">
        <f t="shared" si="56"/>
        <v>F</v>
      </c>
      <c r="CT87" s="208" t="str">
        <f t="shared" si="56"/>
        <v>F</v>
      </c>
      <c r="CU87" s="208" t="str">
        <f t="shared" si="56"/>
        <v>F</v>
      </c>
      <c r="CV87" s="208" t="str">
        <f t="shared" si="56"/>
        <v>F</v>
      </c>
      <c r="CW87" s="208" t="str">
        <f t="shared" si="56"/>
        <v>F</v>
      </c>
      <c r="CX87" s="208" t="str">
        <f t="shared" si="56"/>
        <v>F</v>
      </c>
      <c r="CY87" s="208" t="str">
        <f t="shared" si="56"/>
        <v>F</v>
      </c>
      <c r="CZ87" s="208" t="str">
        <f t="shared" si="56"/>
        <v>F</v>
      </c>
      <c r="DA87" s="208" t="str">
        <f t="shared" si="56"/>
        <v>F</v>
      </c>
      <c r="DB87" s="208" t="str">
        <f t="shared" si="56"/>
        <v>F</v>
      </c>
      <c r="DC87" s="210" t="str">
        <f t="shared" si="56"/>
        <v>F</v>
      </c>
    </row>
    <row r="88" spans="2:107" x14ac:dyDescent="0.2">
      <c r="B88" s="205"/>
      <c r="C88" s="879"/>
      <c r="D88" s="206"/>
      <c r="E88" s="247"/>
      <c r="F88" s="207"/>
      <c r="G88" s="220"/>
      <c r="H88" s="221"/>
      <c r="I88" s="221"/>
      <c r="J88" s="221"/>
      <c r="K88" s="221"/>
      <c r="L88" s="221"/>
      <c r="M88" s="221"/>
      <c r="N88" s="221"/>
      <c r="O88" s="221"/>
      <c r="P88" s="221"/>
      <c r="Q88" s="222"/>
      <c r="R88" s="221"/>
      <c r="S88" s="221"/>
      <c r="T88" s="221"/>
      <c r="U88" s="221"/>
      <c r="V88" s="221"/>
      <c r="W88" s="221"/>
      <c r="X88" s="221"/>
      <c r="Y88" s="221"/>
      <c r="Z88" s="221"/>
      <c r="AA88" s="222"/>
      <c r="AB88" s="221"/>
      <c r="AC88" s="221"/>
      <c r="AD88" s="221"/>
      <c r="AE88" s="221"/>
      <c r="AF88" s="221"/>
      <c r="AG88" s="221"/>
      <c r="AH88" s="221"/>
      <c r="AI88" s="221"/>
      <c r="AJ88" s="221"/>
      <c r="AK88" s="222"/>
      <c r="AL88" s="221"/>
      <c r="AM88" s="221"/>
      <c r="AN88" s="221"/>
      <c r="AO88" s="221"/>
      <c r="AP88" s="221"/>
      <c r="AQ88" s="221"/>
      <c r="AR88" s="221"/>
      <c r="AS88" s="221"/>
      <c r="AT88" s="221"/>
      <c r="AU88" s="222"/>
      <c r="AV88" s="221"/>
      <c r="AW88" s="221"/>
      <c r="AX88" s="221"/>
      <c r="AY88" s="221"/>
      <c r="AZ88" s="221"/>
      <c r="BA88" s="221"/>
      <c r="BB88" s="221"/>
      <c r="BC88" s="221"/>
      <c r="BD88" s="221"/>
      <c r="BE88" s="222"/>
      <c r="BF88" s="221"/>
      <c r="BG88" s="221"/>
      <c r="BH88" s="221"/>
      <c r="BI88" s="221"/>
      <c r="BJ88" s="221"/>
      <c r="BK88" s="221"/>
      <c r="BL88" s="221"/>
      <c r="BM88" s="221"/>
      <c r="BN88" s="221"/>
      <c r="BO88" s="222"/>
      <c r="BP88" s="221"/>
      <c r="BQ88" s="221"/>
      <c r="BR88" s="221"/>
      <c r="BS88" s="221"/>
      <c r="BT88" s="221"/>
      <c r="BU88" s="221"/>
      <c r="BV88" s="221"/>
      <c r="BW88" s="221"/>
      <c r="BX88" s="221"/>
      <c r="BY88" s="222"/>
      <c r="BZ88" s="221"/>
      <c r="CA88" s="221"/>
      <c r="CB88" s="221"/>
      <c r="CC88" s="221"/>
      <c r="CD88" s="221"/>
      <c r="CE88" s="221"/>
      <c r="CF88" s="221"/>
      <c r="CG88" s="221"/>
      <c r="CH88" s="221"/>
      <c r="CI88" s="222"/>
      <c r="CJ88" s="221"/>
      <c r="CK88" s="221"/>
      <c r="CL88" s="221"/>
      <c r="CM88" s="221"/>
      <c r="CN88" s="221"/>
      <c r="CO88" s="221"/>
      <c r="CP88" s="221"/>
      <c r="CQ88" s="221"/>
      <c r="CR88" s="221"/>
      <c r="CS88" s="222"/>
      <c r="CT88" s="221"/>
      <c r="CU88" s="221"/>
      <c r="CV88" s="221"/>
      <c r="CW88" s="221"/>
      <c r="CX88" s="221"/>
      <c r="CY88" s="221"/>
      <c r="CZ88" s="221"/>
      <c r="DA88" s="221"/>
      <c r="DB88" s="221"/>
      <c r="DC88" s="223"/>
    </row>
    <row r="89" spans="2:107" x14ac:dyDescent="0.2">
      <c r="B89" s="205"/>
      <c r="C89" s="879"/>
      <c r="D89" s="206" t="str">
        <f>'Technologies Matrix'!B61</f>
        <v>Satellite Treatment - Enhanced</v>
      </c>
      <c r="E89" s="247">
        <f>'Technologies Matrix'!S61</f>
        <v>77.142857142857153</v>
      </c>
      <c r="F89" s="207">
        <f>'Technologies Matrix'!T61</f>
        <v>77.142857142857153</v>
      </c>
      <c r="G89" s="209" t="str">
        <f>IF(AND(G$3&gt;=$E89,G$3&lt;=$F89),"T","F")</f>
        <v>F</v>
      </c>
      <c r="H89" s="208" t="str">
        <f t="shared" ref="H89:BS89" si="57">IF(AND(H$3&gt;=$E89,H$3&lt;=$F89),"T","F")</f>
        <v>F</v>
      </c>
      <c r="I89" s="208" t="str">
        <f t="shared" si="57"/>
        <v>F</v>
      </c>
      <c r="J89" s="208" t="str">
        <f t="shared" si="57"/>
        <v>F</v>
      </c>
      <c r="K89" s="208" t="str">
        <f t="shared" si="57"/>
        <v>F</v>
      </c>
      <c r="L89" s="208" t="str">
        <f t="shared" si="57"/>
        <v>F</v>
      </c>
      <c r="M89" s="208" t="str">
        <f t="shared" si="57"/>
        <v>F</v>
      </c>
      <c r="N89" s="208" t="str">
        <f t="shared" si="57"/>
        <v>F</v>
      </c>
      <c r="O89" s="208" t="str">
        <f t="shared" si="57"/>
        <v>F</v>
      </c>
      <c r="P89" s="208" t="str">
        <f t="shared" si="57"/>
        <v>F</v>
      </c>
      <c r="Q89" s="209" t="str">
        <f t="shared" si="57"/>
        <v>F</v>
      </c>
      <c r="R89" s="208" t="str">
        <f t="shared" si="57"/>
        <v>F</v>
      </c>
      <c r="S89" s="208" t="str">
        <f t="shared" si="57"/>
        <v>F</v>
      </c>
      <c r="T89" s="208" t="str">
        <f t="shared" si="57"/>
        <v>F</v>
      </c>
      <c r="U89" s="208" t="str">
        <f t="shared" si="57"/>
        <v>F</v>
      </c>
      <c r="V89" s="208" t="str">
        <f t="shared" si="57"/>
        <v>F</v>
      </c>
      <c r="W89" s="208" t="str">
        <f t="shared" si="57"/>
        <v>F</v>
      </c>
      <c r="X89" s="208" t="str">
        <f t="shared" si="57"/>
        <v>F</v>
      </c>
      <c r="Y89" s="208" t="str">
        <f t="shared" si="57"/>
        <v>F</v>
      </c>
      <c r="Z89" s="208" t="str">
        <f t="shared" si="57"/>
        <v>F</v>
      </c>
      <c r="AA89" s="209" t="str">
        <f t="shared" si="57"/>
        <v>F</v>
      </c>
      <c r="AB89" s="208" t="str">
        <f t="shared" si="57"/>
        <v>F</v>
      </c>
      <c r="AC89" s="208" t="str">
        <f t="shared" si="57"/>
        <v>F</v>
      </c>
      <c r="AD89" s="208" t="str">
        <f t="shared" si="57"/>
        <v>F</v>
      </c>
      <c r="AE89" s="208" t="str">
        <f t="shared" si="57"/>
        <v>F</v>
      </c>
      <c r="AF89" s="208" t="str">
        <f t="shared" si="57"/>
        <v>F</v>
      </c>
      <c r="AG89" s="208" t="str">
        <f t="shared" si="57"/>
        <v>F</v>
      </c>
      <c r="AH89" s="208" t="str">
        <f t="shared" si="57"/>
        <v>F</v>
      </c>
      <c r="AI89" s="208" t="str">
        <f t="shared" si="57"/>
        <v>F</v>
      </c>
      <c r="AJ89" s="208" t="str">
        <f t="shared" si="57"/>
        <v>F</v>
      </c>
      <c r="AK89" s="209" t="str">
        <f t="shared" si="57"/>
        <v>F</v>
      </c>
      <c r="AL89" s="208" t="str">
        <f t="shared" si="57"/>
        <v>F</v>
      </c>
      <c r="AM89" s="208" t="str">
        <f t="shared" si="57"/>
        <v>F</v>
      </c>
      <c r="AN89" s="208" t="str">
        <f t="shared" si="57"/>
        <v>F</v>
      </c>
      <c r="AO89" s="208" t="str">
        <f t="shared" si="57"/>
        <v>F</v>
      </c>
      <c r="AP89" s="208" t="str">
        <f t="shared" si="57"/>
        <v>F</v>
      </c>
      <c r="AQ89" s="208" t="str">
        <f t="shared" si="57"/>
        <v>F</v>
      </c>
      <c r="AR89" s="208" t="str">
        <f t="shared" si="57"/>
        <v>F</v>
      </c>
      <c r="AS89" s="208" t="str">
        <f t="shared" si="57"/>
        <v>F</v>
      </c>
      <c r="AT89" s="208" t="str">
        <f t="shared" si="57"/>
        <v>F</v>
      </c>
      <c r="AU89" s="209" t="str">
        <f t="shared" si="57"/>
        <v>F</v>
      </c>
      <c r="AV89" s="208" t="str">
        <f t="shared" si="57"/>
        <v>F</v>
      </c>
      <c r="AW89" s="208" t="str">
        <f t="shared" si="57"/>
        <v>F</v>
      </c>
      <c r="AX89" s="208" t="str">
        <f t="shared" si="57"/>
        <v>F</v>
      </c>
      <c r="AY89" s="208" t="str">
        <f t="shared" si="57"/>
        <v>F</v>
      </c>
      <c r="AZ89" s="208" t="str">
        <f t="shared" si="57"/>
        <v>F</v>
      </c>
      <c r="BA89" s="208" t="str">
        <f t="shared" si="57"/>
        <v>F</v>
      </c>
      <c r="BB89" s="208" t="str">
        <f t="shared" si="57"/>
        <v>F</v>
      </c>
      <c r="BC89" s="208" t="str">
        <f t="shared" si="57"/>
        <v>F</v>
      </c>
      <c r="BD89" s="208" t="str">
        <f t="shared" si="57"/>
        <v>F</v>
      </c>
      <c r="BE89" s="209" t="str">
        <f t="shared" si="57"/>
        <v>F</v>
      </c>
      <c r="BF89" s="208" t="str">
        <f t="shared" si="57"/>
        <v>F</v>
      </c>
      <c r="BG89" s="208" t="str">
        <f t="shared" si="57"/>
        <v>F</v>
      </c>
      <c r="BH89" s="208" t="str">
        <f t="shared" si="57"/>
        <v>F</v>
      </c>
      <c r="BI89" s="208" t="str">
        <f t="shared" si="57"/>
        <v>F</v>
      </c>
      <c r="BJ89" s="208" t="str">
        <f t="shared" si="57"/>
        <v>F</v>
      </c>
      <c r="BK89" s="208" t="str">
        <f t="shared" si="57"/>
        <v>F</v>
      </c>
      <c r="BL89" s="208" t="str">
        <f t="shared" si="57"/>
        <v>F</v>
      </c>
      <c r="BM89" s="208" t="str">
        <f t="shared" si="57"/>
        <v>F</v>
      </c>
      <c r="BN89" s="208" t="str">
        <f t="shared" si="57"/>
        <v>F</v>
      </c>
      <c r="BO89" s="209" t="str">
        <f t="shared" si="57"/>
        <v>F</v>
      </c>
      <c r="BP89" s="208" t="str">
        <f t="shared" si="57"/>
        <v>F</v>
      </c>
      <c r="BQ89" s="208" t="str">
        <f t="shared" si="57"/>
        <v>F</v>
      </c>
      <c r="BR89" s="208" t="str">
        <f t="shared" si="57"/>
        <v>F</v>
      </c>
      <c r="BS89" s="208" t="str">
        <f t="shared" si="57"/>
        <v>F</v>
      </c>
      <c r="BT89" s="208" t="str">
        <f t="shared" ref="BT89:DC89" si="58">IF(AND(BT$3&gt;=$E89,BT$3&lt;=$F89),"T","F")</f>
        <v>F</v>
      </c>
      <c r="BU89" s="208" t="str">
        <f t="shared" si="58"/>
        <v>F</v>
      </c>
      <c r="BV89" s="208" t="str">
        <f t="shared" si="58"/>
        <v>F</v>
      </c>
      <c r="BW89" s="208" t="str">
        <f t="shared" si="58"/>
        <v>F</v>
      </c>
      <c r="BX89" s="208" t="str">
        <f t="shared" si="58"/>
        <v>F</v>
      </c>
      <c r="BY89" s="209" t="str">
        <f t="shared" si="58"/>
        <v>F</v>
      </c>
      <c r="BZ89" s="208" t="str">
        <f t="shared" si="58"/>
        <v>F</v>
      </c>
      <c r="CA89" s="208" t="str">
        <f t="shared" si="58"/>
        <v>F</v>
      </c>
      <c r="CB89" s="208" t="str">
        <f t="shared" si="58"/>
        <v>F</v>
      </c>
      <c r="CC89" s="208" t="str">
        <f t="shared" si="58"/>
        <v>F</v>
      </c>
      <c r="CD89" s="208" t="str">
        <f t="shared" si="58"/>
        <v>F</v>
      </c>
      <c r="CE89" s="208" t="str">
        <f t="shared" si="58"/>
        <v>F</v>
      </c>
      <c r="CF89" s="208" t="str">
        <f t="shared" si="58"/>
        <v>F</v>
      </c>
      <c r="CG89" s="208" t="str">
        <f t="shared" si="58"/>
        <v>F</v>
      </c>
      <c r="CH89" s="208" t="str">
        <f t="shared" si="58"/>
        <v>F</v>
      </c>
      <c r="CI89" s="209" t="str">
        <f t="shared" si="58"/>
        <v>F</v>
      </c>
      <c r="CJ89" s="208" t="str">
        <f t="shared" si="58"/>
        <v>F</v>
      </c>
      <c r="CK89" s="208" t="str">
        <f t="shared" si="58"/>
        <v>F</v>
      </c>
      <c r="CL89" s="208" t="str">
        <f t="shared" si="58"/>
        <v>F</v>
      </c>
      <c r="CM89" s="208" t="str">
        <f t="shared" si="58"/>
        <v>F</v>
      </c>
      <c r="CN89" s="208" t="str">
        <f t="shared" si="58"/>
        <v>F</v>
      </c>
      <c r="CO89" s="208" t="str">
        <f t="shared" si="58"/>
        <v>F</v>
      </c>
      <c r="CP89" s="208" t="str">
        <f t="shared" si="58"/>
        <v>F</v>
      </c>
      <c r="CQ89" s="208" t="str">
        <f t="shared" si="58"/>
        <v>F</v>
      </c>
      <c r="CR89" s="208" t="str">
        <f t="shared" si="58"/>
        <v>F</v>
      </c>
      <c r="CS89" s="209" t="str">
        <f t="shared" si="58"/>
        <v>F</v>
      </c>
      <c r="CT89" s="208" t="str">
        <f t="shared" si="58"/>
        <v>F</v>
      </c>
      <c r="CU89" s="208" t="str">
        <f t="shared" si="58"/>
        <v>F</v>
      </c>
      <c r="CV89" s="208" t="str">
        <f t="shared" si="58"/>
        <v>F</v>
      </c>
      <c r="CW89" s="208" t="str">
        <f t="shared" si="58"/>
        <v>F</v>
      </c>
      <c r="CX89" s="208" t="str">
        <f t="shared" si="58"/>
        <v>F</v>
      </c>
      <c r="CY89" s="208" t="str">
        <f t="shared" si="58"/>
        <v>F</v>
      </c>
      <c r="CZ89" s="208" t="str">
        <f t="shared" si="58"/>
        <v>F</v>
      </c>
      <c r="DA89" s="208" t="str">
        <f t="shared" si="58"/>
        <v>F</v>
      </c>
      <c r="DB89" s="208" t="str">
        <f t="shared" si="58"/>
        <v>F</v>
      </c>
      <c r="DC89" s="210" t="str">
        <f t="shared" si="58"/>
        <v>F</v>
      </c>
    </row>
    <row r="90" spans="2:107" ht="15" hidden="1" customHeight="1" x14ac:dyDescent="0.2">
      <c r="B90" s="205"/>
      <c r="D90" s="214" t="str">
        <f>'Technologies Matrix'!B62</f>
        <v>Gravity Sewer</v>
      </c>
      <c r="E90" s="214">
        <f>'Technologies Matrix'!S62</f>
        <v>0</v>
      </c>
      <c r="F90" s="214">
        <f>'Technologies Matrix'!T62</f>
        <v>0</v>
      </c>
      <c r="G90" s="215"/>
      <c r="Q90" s="215"/>
      <c r="R90" s="216"/>
      <c r="S90" s="216"/>
      <c r="AA90" s="215"/>
      <c r="AK90" s="215"/>
      <c r="AL90" s="216"/>
      <c r="AU90" s="215"/>
      <c r="AV90" s="216"/>
      <c r="BE90" s="215"/>
      <c r="BF90" s="216"/>
      <c r="BO90" s="215"/>
      <c r="BP90" s="216"/>
      <c r="BY90" s="215"/>
      <c r="BZ90" s="216"/>
      <c r="CI90" s="215"/>
      <c r="CJ90" s="216"/>
      <c r="CS90" s="215"/>
      <c r="CT90" s="216"/>
      <c r="DC90" s="217"/>
    </row>
    <row r="91" spans="2:107" ht="15" hidden="1" customHeight="1" x14ac:dyDescent="0.2">
      <c r="B91" s="205"/>
      <c r="D91" s="214" t="str">
        <f>'Technologies Matrix'!B63</f>
        <v>Low Pressure Sewer</v>
      </c>
      <c r="E91" s="214">
        <f>'Technologies Matrix'!S63</f>
        <v>0</v>
      </c>
      <c r="F91" s="214">
        <f>'Technologies Matrix'!T63</f>
        <v>0</v>
      </c>
      <c r="G91" s="215"/>
      <c r="Q91" s="215"/>
      <c r="R91" s="216"/>
      <c r="S91" s="216"/>
      <c r="AA91" s="215"/>
      <c r="AK91" s="215"/>
      <c r="AL91" s="216"/>
      <c r="AU91" s="215"/>
      <c r="AV91" s="216"/>
      <c r="BE91" s="215"/>
      <c r="BF91" s="216"/>
      <c r="BO91" s="215"/>
      <c r="BP91" s="216"/>
      <c r="BY91" s="215"/>
      <c r="BZ91" s="216"/>
      <c r="CI91" s="215"/>
      <c r="CJ91" s="216"/>
      <c r="CS91" s="215"/>
      <c r="CT91" s="216"/>
      <c r="DC91" s="217"/>
    </row>
    <row r="92" spans="2:107" ht="15" hidden="1" customHeight="1" x14ac:dyDescent="0.2">
      <c r="B92" s="205"/>
      <c r="D92" s="214" t="str">
        <f>'Technologies Matrix'!B64</f>
        <v>Vacuum Sewer</v>
      </c>
      <c r="E92" s="214">
        <f>'Technologies Matrix'!S64</f>
        <v>0</v>
      </c>
      <c r="F92" s="214">
        <f>'Technologies Matrix'!T64</f>
        <v>0</v>
      </c>
      <c r="G92" s="215"/>
      <c r="Q92" s="215"/>
      <c r="R92" s="216"/>
      <c r="S92" s="216"/>
      <c r="AA92" s="215"/>
      <c r="AK92" s="215"/>
      <c r="AL92" s="216"/>
      <c r="AU92" s="215"/>
      <c r="AV92" s="216"/>
      <c r="BE92" s="215"/>
      <c r="BF92" s="216"/>
      <c r="BO92" s="215"/>
      <c r="BP92" s="216"/>
      <c r="BY92" s="215"/>
      <c r="BZ92" s="216"/>
      <c r="CI92" s="215"/>
      <c r="CJ92" s="216"/>
      <c r="CS92" s="215"/>
      <c r="CT92" s="216"/>
      <c r="DC92" s="217"/>
    </row>
    <row r="93" spans="2:107" ht="15" hidden="1" customHeight="1" x14ac:dyDescent="0.2">
      <c r="B93" s="205"/>
      <c r="D93" s="214" t="str">
        <f>'Technologies Matrix'!B65</f>
        <v>Force Main</v>
      </c>
      <c r="E93" s="214">
        <f>'Technologies Matrix'!S65</f>
        <v>0</v>
      </c>
      <c r="F93" s="214">
        <f>'Technologies Matrix'!T65</f>
        <v>0</v>
      </c>
      <c r="G93" s="215"/>
      <c r="Q93" s="215"/>
      <c r="R93" s="216"/>
      <c r="S93" s="216"/>
      <c r="AA93" s="215"/>
      <c r="AK93" s="215"/>
      <c r="AL93" s="216"/>
      <c r="AU93" s="215"/>
      <c r="AV93" s="216"/>
      <c r="BE93" s="215"/>
      <c r="BF93" s="216"/>
      <c r="BO93" s="215"/>
      <c r="BP93" s="216"/>
      <c r="BY93" s="215"/>
      <c r="BZ93" s="216"/>
      <c r="CI93" s="215"/>
      <c r="CJ93" s="216"/>
      <c r="CS93" s="215"/>
      <c r="CT93" s="216"/>
      <c r="DC93" s="217"/>
    </row>
    <row r="94" spans="2:107" ht="15" hidden="1" customHeight="1" x14ac:dyDescent="0.2">
      <c r="B94" s="205"/>
      <c r="D94" s="214" t="str">
        <f>'Technologies Matrix'!B66</f>
        <v>Pump Station</v>
      </c>
      <c r="E94" s="214">
        <f>'Technologies Matrix'!S66</f>
        <v>0</v>
      </c>
      <c r="F94" s="214">
        <f>'Technologies Matrix'!T66</f>
        <v>0</v>
      </c>
      <c r="G94" s="215"/>
      <c r="Q94" s="215"/>
      <c r="R94" s="216"/>
      <c r="S94" s="216"/>
      <c r="AA94" s="215"/>
      <c r="AK94" s="215"/>
      <c r="AL94" s="216"/>
      <c r="AU94" s="215"/>
      <c r="AV94" s="216"/>
      <c r="BE94" s="215"/>
      <c r="BF94" s="216"/>
      <c r="BO94" s="215"/>
      <c r="BP94" s="216"/>
      <c r="BY94" s="215"/>
      <c r="BZ94" s="216"/>
      <c r="CI94" s="215"/>
      <c r="CJ94" s="216"/>
      <c r="CS94" s="215"/>
      <c r="CT94" s="216"/>
      <c r="DC94" s="217"/>
    </row>
    <row r="95" spans="2:107" ht="15" hidden="1" customHeight="1" x14ac:dyDescent="0.2">
      <c r="B95" s="205"/>
      <c r="D95" s="214" t="str">
        <f>'Technologies Matrix'!B67</f>
        <v>On-Site Pump Station</v>
      </c>
      <c r="E95" s="214">
        <f>'Technologies Matrix'!S67</f>
        <v>0</v>
      </c>
      <c r="F95" s="214">
        <f>'Technologies Matrix'!T67</f>
        <v>0</v>
      </c>
      <c r="G95" s="215"/>
      <c r="Q95" s="215"/>
      <c r="R95" s="216"/>
      <c r="S95" s="216"/>
      <c r="AA95" s="215"/>
      <c r="AK95" s="215"/>
      <c r="AL95" s="216"/>
      <c r="AU95" s="215"/>
      <c r="AV95" s="216"/>
      <c r="BE95" s="215"/>
      <c r="BF95" s="216"/>
      <c r="BO95" s="215"/>
      <c r="BP95" s="216"/>
      <c r="BY95" s="215"/>
      <c r="BZ95" s="216"/>
      <c r="CI95" s="215"/>
      <c r="CJ95" s="216"/>
      <c r="CS95" s="215"/>
      <c r="CT95" s="216"/>
      <c r="DC95" s="217"/>
    </row>
    <row r="96" spans="2:107" ht="15" hidden="1" customHeight="1" x14ac:dyDescent="0.2">
      <c r="B96" s="205"/>
      <c r="D96" s="214" t="str">
        <f>'Technologies Matrix'!B68</f>
        <v>STEG - Collection</v>
      </c>
      <c r="E96" s="214">
        <f>'Technologies Matrix'!S68</f>
        <v>0</v>
      </c>
      <c r="F96" s="214">
        <f>'Technologies Matrix'!T68</f>
        <v>0</v>
      </c>
      <c r="G96" s="215"/>
      <c r="Q96" s="215"/>
      <c r="R96" s="216"/>
      <c r="S96" s="216"/>
      <c r="AA96" s="215"/>
      <c r="AK96" s="215"/>
      <c r="AL96" s="216"/>
      <c r="AU96" s="215"/>
      <c r="AV96" s="216"/>
      <c r="BE96" s="215"/>
      <c r="BF96" s="216"/>
      <c r="BO96" s="215"/>
      <c r="BP96" s="216"/>
      <c r="BY96" s="215"/>
      <c r="BZ96" s="216"/>
      <c r="CI96" s="215"/>
      <c r="CJ96" s="216"/>
      <c r="CS96" s="215"/>
      <c r="CT96" s="216"/>
      <c r="DC96" s="217"/>
    </row>
    <row r="97" spans="2:107" ht="15" hidden="1" customHeight="1" x14ac:dyDescent="0.2">
      <c r="B97" s="205"/>
      <c r="D97" s="214" t="str">
        <f>'Technologies Matrix'!B69</f>
        <v>STEP - Collection</v>
      </c>
      <c r="E97" s="214">
        <f>'Technologies Matrix'!S69</f>
        <v>0</v>
      </c>
      <c r="F97" s="214">
        <f>'Technologies Matrix'!T69</f>
        <v>0</v>
      </c>
      <c r="G97" s="215"/>
      <c r="Q97" s="215"/>
      <c r="R97" s="216"/>
      <c r="S97" s="216"/>
      <c r="AA97" s="215"/>
      <c r="AK97" s="215"/>
      <c r="AL97" s="216"/>
      <c r="AU97" s="215"/>
      <c r="AV97" s="216"/>
      <c r="BE97" s="215"/>
      <c r="BF97" s="216"/>
      <c r="BO97" s="215"/>
      <c r="BP97" s="216"/>
      <c r="BY97" s="215"/>
      <c r="BZ97" s="216"/>
      <c r="CI97" s="215"/>
      <c r="CJ97" s="216"/>
      <c r="CS97" s="215"/>
      <c r="CT97" s="216"/>
      <c r="DC97" s="217"/>
    </row>
    <row r="98" spans="2:107" ht="15" hidden="1" customHeight="1" x14ac:dyDescent="0.2">
      <c r="B98" s="205"/>
      <c r="D98" s="214">
        <f>'Technologies Matrix'!B70</f>
        <v>0</v>
      </c>
      <c r="E98" s="214">
        <f>'Technologies Matrix'!S70</f>
        <v>0</v>
      </c>
      <c r="F98" s="214">
        <f>'Technologies Matrix'!T70</f>
        <v>0</v>
      </c>
      <c r="G98" s="215"/>
      <c r="Q98" s="215"/>
      <c r="R98" s="216"/>
      <c r="S98" s="216"/>
      <c r="AA98" s="215"/>
      <c r="AK98" s="215"/>
      <c r="AL98" s="216"/>
      <c r="AU98" s="215"/>
      <c r="AV98" s="216"/>
      <c r="BE98" s="215"/>
      <c r="BF98" s="216"/>
      <c r="BO98" s="215"/>
      <c r="BP98" s="216"/>
      <c r="BY98" s="215"/>
      <c r="BZ98" s="216"/>
      <c r="CI98" s="215"/>
      <c r="CJ98" s="216"/>
      <c r="CS98" s="215"/>
      <c r="CT98" s="216"/>
      <c r="DC98" s="217"/>
    </row>
    <row r="99" spans="2:107" ht="15" hidden="1" customHeight="1" x14ac:dyDescent="0.2">
      <c r="B99" s="205"/>
      <c r="D99" s="214">
        <f>'Technologies Matrix'!B71</f>
        <v>0</v>
      </c>
      <c r="E99" s="214">
        <f>'Technologies Matrix'!S71</f>
        <v>0</v>
      </c>
      <c r="F99" s="214">
        <f>'Technologies Matrix'!T71</f>
        <v>0</v>
      </c>
      <c r="G99" s="215"/>
      <c r="Q99" s="215"/>
      <c r="R99" s="216"/>
      <c r="S99" s="216"/>
      <c r="AA99" s="215"/>
      <c r="AK99" s="215"/>
      <c r="AL99" s="216"/>
      <c r="AU99" s="215"/>
      <c r="AV99" s="216"/>
      <c r="BE99" s="215"/>
      <c r="BF99" s="216"/>
      <c r="BO99" s="215"/>
      <c r="BP99" s="216"/>
      <c r="BY99" s="215"/>
      <c r="BZ99" s="216"/>
      <c r="CI99" s="215"/>
      <c r="CJ99" s="216"/>
      <c r="CS99" s="215"/>
      <c r="CT99" s="216"/>
      <c r="DC99" s="217"/>
    </row>
    <row r="100" spans="2:107" ht="15" hidden="1" customHeight="1" x14ac:dyDescent="0.2">
      <c r="B100" s="205"/>
      <c r="D100" s="214" t="str">
        <f>'Technologies Matrix'!B72</f>
        <v>Effluent Disposal - Drip Irrigation</v>
      </c>
      <c r="E100" s="214">
        <f>'Technologies Matrix'!S72</f>
        <v>0</v>
      </c>
      <c r="F100" s="214">
        <f>'Technologies Matrix'!T72</f>
        <v>0</v>
      </c>
      <c r="G100" s="215"/>
      <c r="Q100" s="215"/>
      <c r="R100" s="216"/>
      <c r="S100" s="216"/>
      <c r="AA100" s="215"/>
      <c r="AK100" s="215"/>
      <c r="AL100" s="216"/>
      <c r="AU100" s="215"/>
      <c r="AV100" s="216"/>
      <c r="BE100" s="215"/>
      <c r="BF100" s="216"/>
      <c r="BO100" s="215"/>
      <c r="BP100" s="216"/>
      <c r="BY100" s="215"/>
      <c r="BZ100" s="216"/>
      <c r="CI100" s="215"/>
      <c r="CJ100" s="216"/>
      <c r="CS100" s="215"/>
      <c r="CT100" s="216"/>
      <c r="DC100" s="217"/>
    </row>
    <row r="101" spans="2:107" ht="15" hidden="1" customHeight="1" x14ac:dyDescent="0.2">
      <c r="B101" s="205"/>
      <c r="D101" s="214" t="str">
        <f>'Technologies Matrix'!B73</f>
        <v>Effluent Disposal - Infiltration Basins</v>
      </c>
      <c r="E101" s="214">
        <f>'Technologies Matrix'!S73</f>
        <v>0</v>
      </c>
      <c r="F101" s="214">
        <f>'Technologies Matrix'!T73</f>
        <v>0</v>
      </c>
      <c r="G101" s="215"/>
      <c r="Q101" s="215"/>
      <c r="R101" s="216"/>
      <c r="S101" s="216"/>
      <c r="AA101" s="215"/>
      <c r="AK101" s="215"/>
      <c r="AL101" s="216"/>
      <c r="AU101" s="215"/>
      <c r="AV101" s="216"/>
      <c r="BE101" s="215"/>
      <c r="BF101" s="216"/>
      <c r="BO101" s="215"/>
      <c r="BP101" s="216"/>
      <c r="BY101" s="215"/>
      <c r="BZ101" s="216"/>
      <c r="CI101" s="215"/>
      <c r="CJ101" s="216"/>
      <c r="CS101" s="215"/>
      <c r="CT101" s="216"/>
      <c r="DC101" s="217"/>
    </row>
    <row r="102" spans="2:107" ht="15" hidden="1" customHeight="1" x14ac:dyDescent="0.2">
      <c r="B102" s="205"/>
      <c r="D102" s="214" t="str">
        <f>'Technologies Matrix'!B74</f>
        <v>Effluent Disposal - Soil Absorption System (SAS)</v>
      </c>
      <c r="E102" s="214">
        <f>'Technologies Matrix'!S74</f>
        <v>0</v>
      </c>
      <c r="F102" s="214">
        <f>'Technologies Matrix'!T74</f>
        <v>0</v>
      </c>
      <c r="G102" s="215"/>
      <c r="Q102" s="215"/>
      <c r="R102" s="216"/>
      <c r="S102" s="216"/>
      <c r="AA102" s="215"/>
      <c r="AK102" s="215"/>
      <c r="AL102" s="216"/>
      <c r="AU102" s="215"/>
      <c r="AV102" s="216"/>
      <c r="BE102" s="215"/>
      <c r="BF102" s="216"/>
      <c r="BO102" s="215"/>
      <c r="BP102" s="216"/>
      <c r="BY102" s="215"/>
      <c r="BZ102" s="216"/>
      <c r="CI102" s="215"/>
      <c r="CJ102" s="216"/>
      <c r="CS102" s="215"/>
      <c r="CT102" s="216"/>
      <c r="DC102" s="217"/>
    </row>
    <row r="103" spans="2:107" ht="15" hidden="1" customHeight="1" x14ac:dyDescent="0.2">
      <c r="B103" s="205"/>
      <c r="D103" s="214" t="str">
        <f>'Technologies Matrix'!B75</f>
        <v>Bottomless Sand Filters</v>
      </c>
      <c r="E103" s="214">
        <f>'Technologies Matrix'!S75</f>
        <v>0</v>
      </c>
      <c r="F103" s="214">
        <f>'Technologies Matrix'!T75</f>
        <v>0</v>
      </c>
      <c r="G103" s="215"/>
      <c r="Q103" s="215"/>
      <c r="R103" s="216"/>
      <c r="S103" s="216"/>
      <c r="AA103" s="215"/>
      <c r="AK103" s="215"/>
      <c r="AL103" s="216"/>
      <c r="AU103" s="215"/>
      <c r="AV103" s="216"/>
      <c r="BE103" s="215"/>
      <c r="BF103" s="216"/>
      <c r="BO103" s="215"/>
      <c r="BP103" s="216"/>
      <c r="BY103" s="215"/>
      <c r="BZ103" s="216"/>
      <c r="CI103" s="215"/>
      <c r="CJ103" s="216"/>
      <c r="CS103" s="215"/>
      <c r="CT103" s="216"/>
      <c r="DC103" s="217"/>
    </row>
    <row r="104" spans="2:107" ht="15" hidden="1" customHeight="1" x14ac:dyDescent="0.2">
      <c r="B104" s="205"/>
      <c r="D104" s="214" t="str">
        <f>'Technologies Matrix'!B76</f>
        <v>Vegetated Sand Filters</v>
      </c>
      <c r="E104" s="214">
        <f>'Technologies Matrix'!S76</f>
        <v>0</v>
      </c>
      <c r="F104" s="214">
        <f>'Technologies Matrix'!T76</f>
        <v>0</v>
      </c>
      <c r="G104" s="215"/>
      <c r="Q104" s="215"/>
      <c r="R104" s="216"/>
      <c r="S104" s="216"/>
      <c r="AA104" s="215"/>
      <c r="AK104" s="215"/>
      <c r="AL104" s="216"/>
      <c r="AU104" s="215"/>
      <c r="AV104" s="216"/>
      <c r="BE104" s="215"/>
      <c r="BF104" s="216"/>
      <c r="BO104" s="215"/>
      <c r="BP104" s="216"/>
      <c r="BY104" s="215"/>
      <c r="BZ104" s="216"/>
      <c r="CI104" s="215"/>
      <c r="CJ104" s="216"/>
      <c r="CS104" s="215"/>
      <c r="CT104" s="216"/>
      <c r="DC104" s="217"/>
    </row>
    <row r="105" spans="2:107" ht="15" hidden="1" customHeight="1" x14ac:dyDescent="0.2">
      <c r="B105" s="205"/>
      <c r="D105" s="214" t="str">
        <f>'Technologies Matrix'!B77</f>
        <v>Effluent Disposal - Injection Well</v>
      </c>
      <c r="E105" s="214">
        <f>'Technologies Matrix'!S77</f>
        <v>0</v>
      </c>
      <c r="F105" s="214">
        <f>'Technologies Matrix'!T77</f>
        <v>0</v>
      </c>
      <c r="G105" s="215"/>
      <c r="Q105" s="215"/>
      <c r="R105" s="216"/>
      <c r="S105" s="216"/>
      <c r="AA105" s="215"/>
      <c r="AK105" s="215"/>
      <c r="AL105" s="216"/>
      <c r="AU105" s="215"/>
      <c r="AV105" s="216"/>
      <c r="BE105" s="215"/>
      <c r="BF105" s="216"/>
      <c r="BO105" s="215"/>
      <c r="BP105" s="216"/>
      <c r="BY105" s="215"/>
      <c r="BZ105" s="216"/>
      <c r="CI105" s="215"/>
      <c r="CJ105" s="216"/>
      <c r="CS105" s="215"/>
      <c r="CT105" s="216"/>
      <c r="DC105" s="217"/>
    </row>
    <row r="106" spans="2:107" ht="15" hidden="1" customHeight="1" x14ac:dyDescent="0.2">
      <c r="B106" s="205"/>
      <c r="D106" s="214" t="str">
        <f>'Technologies Matrix'!B78</f>
        <v>Effluent Disposal - Wick Well</v>
      </c>
      <c r="E106" s="214">
        <f>'Technologies Matrix'!S78</f>
        <v>0</v>
      </c>
      <c r="F106" s="214">
        <f>'Technologies Matrix'!T78</f>
        <v>0</v>
      </c>
      <c r="G106" s="215"/>
      <c r="Q106" s="215"/>
      <c r="R106" s="216"/>
      <c r="S106" s="216"/>
      <c r="AA106" s="215"/>
      <c r="AK106" s="215"/>
      <c r="AL106" s="216"/>
      <c r="AU106" s="215"/>
      <c r="AV106" s="216"/>
      <c r="BE106" s="215"/>
      <c r="BF106" s="216"/>
      <c r="BO106" s="215"/>
      <c r="BP106" s="216"/>
      <c r="BY106" s="215"/>
      <c r="BZ106" s="216"/>
      <c r="CI106" s="215"/>
      <c r="CJ106" s="216"/>
      <c r="CS106" s="215"/>
      <c r="CT106" s="216"/>
      <c r="DC106" s="217"/>
    </row>
    <row r="107" spans="2:107" ht="15" hidden="1" customHeight="1" x14ac:dyDescent="0.2">
      <c r="B107" s="205"/>
      <c r="D107" s="214" t="str">
        <f>'Technologies Matrix'!B79</f>
        <v>Effluent Disposal - Ocean Outfall</v>
      </c>
      <c r="E107" s="214">
        <f>'Technologies Matrix'!S79</f>
        <v>100</v>
      </c>
      <c r="F107" s="214">
        <f>'Technologies Matrix'!T79</f>
        <v>100</v>
      </c>
      <c r="G107" s="215"/>
      <c r="Q107" s="215"/>
      <c r="R107" s="216"/>
      <c r="S107" s="216"/>
      <c r="AA107" s="215"/>
      <c r="AK107" s="215"/>
      <c r="AL107" s="216"/>
      <c r="AU107" s="215"/>
      <c r="AV107" s="216"/>
      <c r="BE107" s="215"/>
      <c r="BF107" s="216"/>
      <c r="BO107" s="215"/>
      <c r="BP107" s="216"/>
      <c r="BY107" s="215"/>
      <c r="BZ107" s="216"/>
      <c r="CI107" s="215"/>
      <c r="CJ107" s="216"/>
      <c r="CS107" s="215"/>
      <c r="CT107" s="216"/>
      <c r="DC107" s="217"/>
    </row>
    <row r="108" spans="2:107" ht="15" hidden="1" customHeight="1" x14ac:dyDescent="0.2">
      <c r="B108" s="205"/>
      <c r="D108" s="214" t="str">
        <f>'Technologies Matrix'!B80</f>
        <v>Effluent Transport out of Watershed to Recharge, Reuse Facility or Ocean Outfall</v>
      </c>
      <c r="E108" s="214">
        <f>'Technologies Matrix'!S80</f>
        <v>100</v>
      </c>
      <c r="F108" s="214">
        <f>'Technologies Matrix'!T80</f>
        <v>100</v>
      </c>
      <c r="G108" s="215"/>
      <c r="Q108" s="215"/>
      <c r="R108" s="216"/>
      <c r="S108" s="216"/>
      <c r="AA108" s="215"/>
      <c r="AK108" s="215"/>
      <c r="AL108" s="216"/>
      <c r="AU108" s="215"/>
      <c r="AV108" s="216"/>
      <c r="BE108" s="215"/>
      <c r="BF108" s="216"/>
      <c r="BO108" s="215"/>
      <c r="BP108" s="216"/>
      <c r="BY108" s="215"/>
      <c r="BZ108" s="216"/>
      <c r="CI108" s="215"/>
      <c r="CJ108" s="216"/>
      <c r="CS108" s="215"/>
      <c r="CT108" s="216"/>
      <c r="DC108" s="217"/>
    </row>
    <row r="109" spans="2:107" ht="15" hidden="1" customHeight="1" x14ac:dyDescent="0.2">
      <c r="B109" s="205"/>
      <c r="D109" s="214" t="str">
        <f>'Technologies Matrix'!B82</f>
        <v>Next Generation On-site System Technologies
(currently under development)</v>
      </c>
      <c r="E109" s="214">
        <f>'Technologies Matrix'!S82</f>
        <v>0</v>
      </c>
      <c r="F109" s="214">
        <f>'Technologies Matrix'!T82</f>
        <v>0</v>
      </c>
      <c r="G109" s="215"/>
      <c r="Q109" s="215"/>
      <c r="R109" s="216"/>
      <c r="S109" s="216"/>
      <c r="AA109" s="215"/>
      <c r="AK109" s="215"/>
      <c r="AL109" s="216"/>
      <c r="AU109" s="215"/>
      <c r="AV109" s="216"/>
      <c r="BE109" s="215"/>
      <c r="BF109" s="216"/>
      <c r="BO109" s="215"/>
      <c r="BP109" s="216"/>
      <c r="BY109" s="215"/>
      <c r="BZ109" s="216"/>
      <c r="CI109" s="215"/>
      <c r="CJ109" s="216"/>
      <c r="CS109" s="215"/>
      <c r="CT109" s="216"/>
      <c r="DC109" s="217"/>
    </row>
    <row r="110" spans="2:107" ht="15" hidden="1" customHeight="1" x14ac:dyDescent="0.2">
      <c r="B110" s="205"/>
      <c r="D110" s="214">
        <f>'Technologies Matrix'!B83</f>
        <v>0</v>
      </c>
      <c r="E110" s="214">
        <f>'Technologies Matrix'!S83</f>
        <v>70</v>
      </c>
      <c r="F110" s="214">
        <f>'Technologies Matrix'!T83</f>
        <v>90</v>
      </c>
      <c r="G110" s="215"/>
      <c r="Q110" s="215"/>
      <c r="R110" s="216"/>
      <c r="S110" s="216"/>
      <c r="AA110" s="215"/>
      <c r="AK110" s="215"/>
      <c r="AL110" s="216"/>
      <c r="AU110" s="215"/>
      <c r="AV110" s="216"/>
      <c r="BE110" s="215"/>
      <c r="BF110" s="216"/>
      <c r="BO110" s="215"/>
      <c r="BP110" s="216"/>
      <c r="BY110" s="215"/>
      <c r="BZ110" s="216"/>
      <c r="CI110" s="215"/>
      <c r="CJ110" s="216"/>
      <c r="CS110" s="215"/>
      <c r="CT110" s="216"/>
      <c r="DC110" s="217"/>
    </row>
    <row r="111" spans="2:107" ht="15" hidden="1" customHeight="1" x14ac:dyDescent="0.2">
      <c r="B111" s="205"/>
      <c r="D111" s="214">
        <f>'Technologies Matrix'!B84</f>
        <v>0</v>
      </c>
      <c r="E111" s="214">
        <f>'Technologies Matrix'!S84</f>
        <v>90</v>
      </c>
      <c r="F111" s="214">
        <f>'Technologies Matrix'!T84</f>
        <v>95</v>
      </c>
      <c r="G111" s="215"/>
      <c r="Q111" s="215"/>
      <c r="R111" s="216"/>
      <c r="S111" s="216"/>
      <c r="AA111" s="215"/>
      <c r="AK111" s="215"/>
      <c r="AL111" s="216"/>
      <c r="AU111" s="215"/>
      <c r="AV111" s="216"/>
      <c r="BE111" s="215"/>
      <c r="BF111" s="216"/>
      <c r="BO111" s="215"/>
      <c r="BP111" s="216"/>
      <c r="BY111" s="215"/>
      <c r="BZ111" s="216"/>
      <c r="CI111" s="215"/>
      <c r="CJ111" s="216"/>
      <c r="CS111" s="215"/>
      <c r="CT111" s="216"/>
      <c r="DC111" s="217"/>
    </row>
    <row r="112" spans="2:107" ht="15" hidden="1" customHeight="1" x14ac:dyDescent="0.2">
      <c r="B112" s="205"/>
      <c r="D112" s="214">
        <f>'Technologies Matrix'!B85</f>
        <v>0</v>
      </c>
      <c r="E112" s="214">
        <f>'Technologies Matrix'!S85</f>
        <v>70</v>
      </c>
      <c r="F112" s="214">
        <f>'Technologies Matrix'!T85</f>
        <v>80</v>
      </c>
      <c r="G112" s="215"/>
      <c r="Q112" s="215"/>
      <c r="R112" s="216"/>
      <c r="S112" s="216"/>
      <c r="AA112" s="215"/>
      <c r="AK112" s="215"/>
      <c r="AL112" s="216"/>
      <c r="AU112" s="215"/>
      <c r="AV112" s="216"/>
      <c r="BE112" s="215"/>
      <c r="BF112" s="216"/>
      <c r="BO112" s="215"/>
      <c r="BP112" s="216"/>
      <c r="BY112" s="215"/>
      <c r="BZ112" s="216"/>
      <c r="CI112" s="215"/>
      <c r="CJ112" s="216"/>
      <c r="CS112" s="215"/>
      <c r="CT112" s="216"/>
      <c r="DC112" s="217"/>
    </row>
    <row r="113" spans="2:107" ht="15" hidden="1" customHeight="1" x14ac:dyDescent="0.2">
      <c r="B113" s="205"/>
      <c r="D113" s="214" t="str">
        <f>'Technologies Matrix'!B86</f>
        <v>Small Scale MBR</v>
      </c>
      <c r="E113" s="214">
        <f>'Technologies Matrix'!S86</f>
        <v>30</v>
      </c>
      <c r="F113" s="214">
        <f>'Technologies Matrix'!T86</f>
        <v>80</v>
      </c>
      <c r="G113" s="215"/>
      <c r="Q113" s="215"/>
      <c r="R113" s="216"/>
      <c r="S113" s="216"/>
      <c r="AA113" s="215"/>
      <c r="AK113" s="215"/>
      <c r="AL113" s="216"/>
      <c r="AU113" s="215"/>
      <c r="AV113" s="216"/>
      <c r="BE113" s="215"/>
      <c r="BF113" s="216"/>
      <c r="BO113" s="215"/>
      <c r="BP113" s="216"/>
      <c r="BY113" s="215"/>
      <c r="BZ113" s="216"/>
      <c r="CI113" s="215"/>
      <c r="CJ113" s="216"/>
      <c r="CS113" s="215"/>
      <c r="CT113" s="216"/>
      <c r="DC113" s="217"/>
    </row>
    <row r="114" spans="2:107" ht="15" hidden="1" customHeight="1" x14ac:dyDescent="0.2">
      <c r="B114" s="205"/>
      <c r="D114" s="214" t="str">
        <f>'Technologies Matrix'!B87</f>
        <v>On-Site Grey Water Treatment</v>
      </c>
      <c r="E114" s="214">
        <f>'Technologies Matrix'!S87</f>
        <v>0</v>
      </c>
      <c r="F114" s="214">
        <f>'Technologies Matrix'!T87</f>
        <v>0</v>
      </c>
      <c r="G114" s="215"/>
      <c r="Q114" s="215"/>
      <c r="R114" s="216"/>
      <c r="S114" s="216"/>
      <c r="AA114" s="215"/>
      <c r="AK114" s="215"/>
      <c r="AL114" s="216"/>
      <c r="AU114" s="215"/>
      <c r="AV114" s="216"/>
      <c r="BE114" s="215"/>
      <c r="BF114" s="216"/>
      <c r="BO114" s="215"/>
      <c r="BP114" s="216"/>
      <c r="BY114" s="215"/>
      <c r="BZ114" s="216"/>
      <c r="CI114" s="215"/>
      <c r="CJ114" s="216"/>
      <c r="CS114" s="215"/>
      <c r="CT114" s="216"/>
      <c r="DC114" s="217"/>
    </row>
    <row r="115" spans="2:107" ht="15" hidden="1" customHeight="1" x14ac:dyDescent="0.2">
      <c r="B115" s="205"/>
      <c r="D115" s="214" t="str">
        <f>'Technologies Matrix'!B88</f>
        <v>Digester and Combined Heat Power Unit</v>
      </c>
      <c r="E115" s="214">
        <f>'Technologies Matrix'!S88</f>
        <v>0</v>
      </c>
      <c r="F115" s="214">
        <f>'Technologies Matrix'!T88</f>
        <v>0</v>
      </c>
      <c r="G115" s="215"/>
      <c r="Q115" s="215"/>
      <c r="R115" s="216"/>
      <c r="S115" s="216"/>
      <c r="AA115" s="215"/>
      <c r="AK115" s="215"/>
      <c r="AL115" s="216"/>
      <c r="AU115" s="215"/>
      <c r="AV115" s="216"/>
      <c r="BE115" s="215"/>
      <c r="BF115" s="216"/>
      <c r="BO115" s="215"/>
      <c r="BP115" s="216"/>
      <c r="BY115" s="215"/>
      <c r="BZ115" s="216"/>
      <c r="CI115" s="215"/>
      <c r="CJ115" s="216"/>
      <c r="CS115" s="215"/>
      <c r="CT115" s="216"/>
      <c r="DC115" s="217"/>
    </row>
    <row r="116" spans="2:107" ht="15" hidden="1" customHeight="1" x14ac:dyDescent="0.2">
      <c r="B116" s="205"/>
      <c r="D116" s="214" t="str">
        <f>'Technologies Matrix'!B89</f>
        <v>Switch from Fuels that Deliver Nitrogen to Watersheds</v>
      </c>
      <c r="E116" s="214">
        <f>'Technologies Matrix'!S89</f>
        <v>0</v>
      </c>
      <c r="F116" s="214">
        <f>'Technologies Matrix'!T89</f>
        <v>0</v>
      </c>
      <c r="G116" s="215"/>
      <c r="Q116" s="215"/>
      <c r="R116" s="216"/>
      <c r="S116" s="216"/>
      <c r="AA116" s="215"/>
      <c r="AK116" s="215"/>
      <c r="AL116" s="216"/>
      <c r="AU116" s="215"/>
      <c r="AV116" s="216"/>
      <c r="BE116" s="215"/>
      <c r="BF116" s="216"/>
      <c r="BO116" s="215"/>
      <c r="BP116" s="216"/>
      <c r="BY116" s="215"/>
      <c r="BZ116" s="216"/>
      <c r="CI116" s="215"/>
      <c r="CJ116" s="216"/>
      <c r="CS116" s="215"/>
      <c r="CT116" s="216"/>
      <c r="DC116" s="217"/>
    </row>
    <row r="117" spans="2:107" ht="15" hidden="1" customHeight="1" x14ac:dyDescent="0.2">
      <c r="B117" s="205"/>
      <c r="D117" s="214" t="str">
        <f>'Technologies Matrix'!B90</f>
        <v>Septage Processing</v>
      </c>
      <c r="E117" s="214">
        <f>'Technologies Matrix'!S90</f>
        <v>0</v>
      </c>
      <c r="F117" s="214">
        <f>'Technologies Matrix'!T90</f>
        <v>0</v>
      </c>
      <c r="G117" s="215"/>
      <c r="Q117" s="215"/>
      <c r="R117" s="216"/>
      <c r="S117" s="216"/>
      <c r="AA117" s="215"/>
      <c r="AK117" s="215"/>
      <c r="AL117" s="216"/>
      <c r="AU117" s="215"/>
      <c r="AV117" s="216"/>
      <c r="BE117" s="215"/>
      <c r="BF117" s="216"/>
      <c r="BO117" s="215"/>
      <c r="BP117" s="216"/>
      <c r="BY117" s="215"/>
      <c r="BZ117" s="216"/>
      <c r="CI117" s="215"/>
      <c r="CJ117" s="216"/>
      <c r="CS117" s="215"/>
      <c r="CT117" s="216"/>
      <c r="DC117" s="217"/>
    </row>
    <row r="118" spans="2:107" ht="15" hidden="1" customHeight="1" x14ac:dyDescent="0.2">
      <c r="B118" s="205"/>
      <c r="D118" s="214" t="str">
        <f>'Technologies Matrix'!B91</f>
        <v>Commercial Disposal</v>
      </c>
      <c r="E118" s="214">
        <f>'Technologies Matrix'!S91</f>
        <v>0</v>
      </c>
      <c r="F118" s="214">
        <f>'Technologies Matrix'!T91</f>
        <v>0</v>
      </c>
      <c r="G118" s="215"/>
      <c r="Q118" s="215"/>
      <c r="R118" s="216"/>
      <c r="S118" s="216"/>
      <c r="AA118" s="215"/>
      <c r="AK118" s="215"/>
      <c r="AL118" s="216"/>
      <c r="AU118" s="215"/>
      <c r="AV118" s="216"/>
      <c r="BE118" s="215"/>
      <c r="BF118" s="216"/>
      <c r="BO118" s="215"/>
      <c r="BP118" s="216"/>
      <c r="BY118" s="215"/>
      <c r="BZ118" s="216"/>
      <c r="CI118" s="215"/>
      <c r="CJ118" s="216"/>
      <c r="CS118" s="215"/>
      <c r="CT118" s="216"/>
      <c r="DC118" s="217"/>
    </row>
    <row r="119" spans="2:107" ht="15" hidden="1" customHeight="1" x14ac:dyDescent="0.2">
      <c r="B119" s="205"/>
      <c r="D119" s="214" t="str">
        <f>'Technologies Matrix'!B92</f>
        <v>Dewater and Haul to Landfill</v>
      </c>
      <c r="E119" s="214">
        <f>'Technologies Matrix'!S92</f>
        <v>0</v>
      </c>
      <c r="F119" s="214">
        <f>'Technologies Matrix'!T92</f>
        <v>0</v>
      </c>
      <c r="G119" s="215"/>
      <c r="Q119" s="215"/>
      <c r="R119" s="216"/>
      <c r="S119" s="216"/>
      <c r="AA119" s="215"/>
      <c r="AK119" s="215"/>
      <c r="AL119" s="216"/>
      <c r="AU119" s="215"/>
      <c r="AV119" s="216"/>
      <c r="BE119" s="215"/>
      <c r="BF119" s="216"/>
      <c r="BO119" s="215"/>
      <c r="BP119" s="216"/>
      <c r="BY119" s="215"/>
      <c r="BZ119" s="216"/>
      <c r="CI119" s="215"/>
      <c r="CJ119" s="216"/>
      <c r="CS119" s="215"/>
      <c r="CT119" s="216"/>
      <c r="DC119" s="217"/>
    </row>
    <row r="120" spans="2:107" ht="15" hidden="1" customHeight="1" x14ac:dyDescent="0.2">
      <c r="B120" s="205"/>
      <c r="D120" s="214" t="str">
        <f>'Technologies Matrix'!B93</f>
        <v>Composting</v>
      </c>
      <c r="E120" s="214">
        <f>'Technologies Matrix'!S93</f>
        <v>0</v>
      </c>
      <c r="F120" s="214">
        <f>'Technologies Matrix'!T93</f>
        <v>0</v>
      </c>
      <c r="G120" s="215"/>
      <c r="Q120" s="215"/>
      <c r="R120" s="216"/>
      <c r="S120" s="216"/>
      <c r="AA120" s="215"/>
      <c r="AK120" s="215"/>
      <c r="AL120" s="216"/>
      <c r="AU120" s="215"/>
      <c r="AV120" s="216"/>
      <c r="BE120" s="215"/>
      <c r="BF120" s="216"/>
      <c r="BO120" s="215"/>
      <c r="BP120" s="216"/>
      <c r="BY120" s="215"/>
      <c r="BZ120" s="216"/>
      <c r="CI120" s="215"/>
      <c r="CJ120" s="216"/>
      <c r="CS120" s="215"/>
      <c r="CT120" s="216"/>
      <c r="DC120" s="217"/>
    </row>
    <row r="121" spans="2:107" ht="15" hidden="1" customHeight="1" x14ac:dyDescent="0.2">
      <c r="B121" s="205"/>
      <c r="D121" s="214" t="str">
        <f>'Technologies Matrix'!B94</f>
        <v>Incineration</v>
      </c>
      <c r="E121" s="214">
        <f>'Technologies Matrix'!S94</f>
        <v>0</v>
      </c>
      <c r="F121" s="214">
        <f>'Technologies Matrix'!T94</f>
        <v>0</v>
      </c>
      <c r="G121" s="215"/>
      <c r="Q121" s="215"/>
      <c r="R121" s="216"/>
      <c r="S121" s="216"/>
      <c r="AA121" s="215"/>
      <c r="AK121" s="215"/>
      <c r="AL121" s="216"/>
      <c r="AU121" s="215"/>
      <c r="AV121" s="216"/>
      <c r="BE121" s="215"/>
      <c r="BF121" s="216"/>
      <c r="BO121" s="215"/>
      <c r="BP121" s="216"/>
      <c r="BY121" s="215"/>
      <c r="BZ121" s="216"/>
      <c r="CI121" s="215"/>
      <c r="CJ121" s="216"/>
      <c r="CS121" s="215"/>
      <c r="CT121" s="216"/>
      <c r="DC121" s="217"/>
    </row>
    <row r="122" spans="2:107" ht="15" hidden="1" customHeight="1" x14ac:dyDescent="0.2">
      <c r="B122" s="205"/>
      <c r="D122" s="214" t="str">
        <f>'Technologies Matrix'!B95</f>
        <v>Lime Stabilization</v>
      </c>
      <c r="E122" s="214">
        <f>'Technologies Matrix'!S95</f>
        <v>0</v>
      </c>
      <c r="F122" s="214">
        <f>'Technologies Matrix'!T95</f>
        <v>0</v>
      </c>
      <c r="G122" s="215"/>
      <c r="Q122" s="215"/>
      <c r="R122" s="216"/>
      <c r="S122" s="216"/>
      <c r="AA122" s="215"/>
      <c r="AK122" s="215"/>
      <c r="AL122" s="216"/>
      <c r="AU122" s="215"/>
      <c r="AV122" s="216"/>
      <c r="BE122" s="215"/>
      <c r="BF122" s="216"/>
      <c r="BO122" s="215"/>
      <c r="BP122" s="216"/>
      <c r="BY122" s="215"/>
      <c r="BZ122" s="216"/>
      <c r="CI122" s="215"/>
      <c r="CJ122" s="216"/>
      <c r="CS122" s="215"/>
      <c r="CT122" s="216"/>
      <c r="DC122" s="217"/>
    </row>
    <row r="123" spans="2:107" ht="15" hidden="1" customHeight="1" x14ac:dyDescent="0.2">
      <c r="B123" s="205"/>
      <c r="D123" s="214" t="str">
        <f>'Technologies Matrix'!B96</f>
        <v>Digestion</v>
      </c>
      <c r="E123" s="214">
        <f>'Technologies Matrix'!S96</f>
        <v>0</v>
      </c>
      <c r="F123" s="214">
        <f>'Technologies Matrix'!T96</f>
        <v>0</v>
      </c>
      <c r="G123" s="215"/>
      <c r="Q123" s="215"/>
      <c r="R123" s="216"/>
      <c r="S123" s="216"/>
      <c r="AA123" s="215"/>
      <c r="AK123" s="215"/>
      <c r="AL123" s="216"/>
      <c r="AU123" s="215"/>
      <c r="AV123" s="216"/>
      <c r="BE123" s="215"/>
      <c r="BF123" s="216"/>
      <c r="BO123" s="215"/>
      <c r="BP123" s="216"/>
      <c r="BY123" s="215"/>
      <c r="BZ123" s="216"/>
      <c r="CI123" s="215"/>
      <c r="CJ123" s="216"/>
      <c r="CS123" s="215"/>
      <c r="CT123" s="216"/>
      <c r="DC123" s="217"/>
    </row>
    <row r="124" spans="2:107" ht="15" hidden="1" customHeight="1" x14ac:dyDescent="0.2">
      <c r="B124" s="205"/>
      <c r="D124" s="214">
        <f>'Technologies Matrix'!B97</f>
        <v>0</v>
      </c>
      <c r="E124" s="214">
        <f>'Technologies Matrix'!S97</f>
        <v>0</v>
      </c>
      <c r="F124" s="214">
        <f>'Technologies Matrix'!T97</f>
        <v>0</v>
      </c>
      <c r="G124" s="215"/>
      <c r="Q124" s="215"/>
      <c r="R124" s="216"/>
      <c r="S124" s="216"/>
      <c r="AA124" s="215"/>
      <c r="AK124" s="215"/>
      <c r="AL124" s="216"/>
      <c r="AU124" s="215"/>
      <c r="AV124" s="216"/>
      <c r="BE124" s="215"/>
      <c r="BF124" s="216"/>
      <c r="BO124" s="215"/>
      <c r="BP124" s="216"/>
      <c r="BY124" s="215"/>
      <c r="BZ124" s="216"/>
      <c r="CI124" s="215"/>
      <c r="CJ124" s="216"/>
      <c r="CS124" s="215"/>
      <c r="CT124" s="216"/>
      <c r="DC124" s="217"/>
    </row>
    <row r="125" spans="2:107" ht="15" hidden="1" customHeight="1" x14ac:dyDescent="0.2">
      <c r="B125" s="205"/>
      <c r="D125" s="214" t="str">
        <f>'Technologies Matrix'!B98</f>
        <v>Thermal Drying</v>
      </c>
      <c r="E125" s="214">
        <f>'Technologies Matrix'!S98</f>
        <v>0</v>
      </c>
      <c r="F125" s="214">
        <f>'Technologies Matrix'!T98</f>
        <v>0</v>
      </c>
      <c r="G125" s="215"/>
      <c r="Q125" s="215"/>
      <c r="R125" s="216"/>
      <c r="S125" s="216"/>
      <c r="AA125" s="215"/>
      <c r="AK125" s="215"/>
      <c r="AL125" s="216"/>
      <c r="AU125" s="215"/>
      <c r="AV125" s="216"/>
      <c r="BE125" s="215"/>
      <c r="BF125" s="216"/>
      <c r="BO125" s="215"/>
      <c r="BP125" s="216"/>
      <c r="BY125" s="215"/>
      <c r="BZ125" s="216"/>
      <c r="CI125" s="215"/>
      <c r="CJ125" s="216"/>
      <c r="CS125" s="215"/>
      <c r="CT125" s="216"/>
      <c r="DC125" s="217"/>
    </row>
    <row r="126" spans="2:107" ht="15" hidden="1" customHeight="1" x14ac:dyDescent="0.2">
      <c r="B126" s="205"/>
      <c r="D126" s="214" t="str">
        <f>'Technologies Matrix'!B99</f>
        <v>Drying and Gasification</v>
      </c>
      <c r="E126" s="214">
        <f>'Technologies Matrix'!S99</f>
        <v>0</v>
      </c>
      <c r="F126" s="214">
        <f>'Technologies Matrix'!T99</f>
        <v>0</v>
      </c>
      <c r="G126" s="215"/>
      <c r="Q126" s="215"/>
      <c r="R126" s="216"/>
      <c r="S126" s="216"/>
      <c r="AA126" s="215"/>
      <c r="AK126" s="215"/>
      <c r="AL126" s="216"/>
      <c r="AU126" s="215"/>
      <c r="AV126" s="216"/>
      <c r="BE126" s="215"/>
      <c r="BF126" s="216"/>
      <c r="BO126" s="215"/>
      <c r="BP126" s="216"/>
      <c r="BY126" s="215"/>
      <c r="BZ126" s="216"/>
      <c r="CI126" s="215"/>
      <c r="CJ126" s="216"/>
      <c r="CS126" s="215"/>
      <c r="CT126" s="216"/>
      <c r="DC126" s="217"/>
    </row>
    <row r="127" spans="2:107" x14ac:dyDescent="0.2">
      <c r="B127" s="228"/>
      <c r="C127" s="229"/>
      <c r="D127" s="230"/>
      <c r="E127" s="230"/>
      <c r="F127" s="230"/>
      <c r="G127" s="231"/>
      <c r="H127" s="230"/>
      <c r="I127" s="230"/>
      <c r="J127" s="230"/>
      <c r="K127" s="230"/>
      <c r="L127" s="230"/>
      <c r="M127" s="230"/>
      <c r="N127" s="230"/>
      <c r="O127" s="230"/>
      <c r="P127" s="230"/>
      <c r="Q127" s="231"/>
      <c r="R127" s="230"/>
      <c r="S127" s="230"/>
      <c r="T127" s="230"/>
      <c r="U127" s="230"/>
      <c r="V127" s="230"/>
      <c r="W127" s="230"/>
      <c r="X127" s="230"/>
      <c r="Y127" s="230"/>
      <c r="Z127" s="230"/>
      <c r="AA127" s="231"/>
      <c r="AB127" s="230"/>
      <c r="AC127" s="230"/>
      <c r="AD127" s="230"/>
      <c r="AE127" s="230"/>
      <c r="AF127" s="230"/>
      <c r="AG127" s="230"/>
      <c r="AH127" s="230"/>
      <c r="AI127" s="230"/>
      <c r="AJ127" s="230"/>
      <c r="AK127" s="231"/>
      <c r="AL127" s="230"/>
      <c r="AM127" s="230"/>
      <c r="AN127" s="230"/>
      <c r="AO127" s="230"/>
      <c r="AP127" s="230"/>
      <c r="AQ127" s="230"/>
      <c r="AR127" s="230"/>
      <c r="AS127" s="230"/>
      <c r="AT127" s="230"/>
      <c r="AU127" s="231"/>
      <c r="AV127" s="230"/>
      <c r="AW127" s="230"/>
      <c r="AX127" s="230"/>
      <c r="AY127" s="230"/>
      <c r="AZ127" s="230"/>
      <c r="BA127" s="230"/>
      <c r="BB127" s="230"/>
      <c r="BC127" s="230"/>
      <c r="BD127" s="230"/>
      <c r="BE127" s="231"/>
      <c r="BF127" s="230"/>
      <c r="BG127" s="230"/>
      <c r="BH127" s="230"/>
      <c r="BI127" s="230"/>
      <c r="BJ127" s="230"/>
      <c r="BK127" s="230"/>
      <c r="BL127" s="230"/>
      <c r="BM127" s="230"/>
      <c r="BN127" s="230"/>
      <c r="BO127" s="231"/>
      <c r="BP127" s="230"/>
      <c r="BQ127" s="230"/>
      <c r="BR127" s="230"/>
      <c r="BS127" s="230"/>
      <c r="BT127" s="230"/>
      <c r="BU127" s="230"/>
      <c r="BV127" s="230"/>
      <c r="BW127" s="230"/>
      <c r="BX127" s="230"/>
      <c r="BY127" s="231"/>
      <c r="BZ127" s="230"/>
      <c r="CA127" s="230"/>
      <c r="CB127" s="230"/>
      <c r="CC127" s="230"/>
      <c r="CD127" s="230"/>
      <c r="CE127" s="230"/>
      <c r="CF127" s="230"/>
      <c r="CG127" s="230"/>
      <c r="CH127" s="230"/>
      <c r="CI127" s="231"/>
      <c r="CJ127" s="230"/>
      <c r="CK127" s="230"/>
      <c r="CL127" s="230"/>
      <c r="CM127" s="230"/>
      <c r="CN127" s="230"/>
      <c r="CO127" s="230"/>
      <c r="CP127" s="230"/>
      <c r="CQ127" s="230"/>
      <c r="CR127" s="230"/>
      <c r="CS127" s="231"/>
      <c r="CT127" s="230"/>
      <c r="CU127" s="230"/>
      <c r="CV127" s="230"/>
      <c r="CW127" s="230"/>
      <c r="CX127" s="230"/>
      <c r="CY127" s="230"/>
      <c r="CZ127" s="230"/>
      <c r="DA127" s="230"/>
      <c r="DB127" s="230"/>
      <c r="DC127" s="232"/>
    </row>
    <row r="189" spans="3:3" x14ac:dyDescent="0.2">
      <c r="C189" s="233" t="s">
        <v>487</v>
      </c>
    </row>
  </sheetData>
  <sheetProtection password="819C" sheet="1" objects="1" scenarios="1"/>
  <mergeCells count="9">
    <mergeCell ref="G2:DC2"/>
    <mergeCell ref="C2:D3"/>
    <mergeCell ref="E2:F2"/>
    <mergeCell ref="C73:C89"/>
    <mergeCell ref="C49:C57"/>
    <mergeCell ref="C59:C71"/>
    <mergeCell ref="C5:C23"/>
    <mergeCell ref="C25:C39"/>
    <mergeCell ref="C41:C47"/>
  </mergeCells>
  <conditionalFormatting sqref="G5:P24 R5:DC24">
    <cfRule type="cellIs" dxfId="59" priority="124" operator="equal">
      <formula>"T"</formula>
    </cfRule>
  </conditionalFormatting>
  <conditionalFormatting sqref="G41:P41 R41:DC41">
    <cfRule type="cellIs" dxfId="58" priority="115" operator="equal">
      <formula>"T"</formula>
    </cfRule>
  </conditionalFormatting>
  <conditionalFormatting sqref="G49:P49 R49:DC49">
    <cfRule type="cellIs" dxfId="57" priority="111" operator="equal">
      <formula>"T"</formula>
    </cfRule>
  </conditionalFormatting>
  <conditionalFormatting sqref="G59:P59 R59:DC59">
    <cfRule type="cellIs" dxfId="56" priority="106" operator="equal">
      <formula>"T"</formula>
    </cfRule>
  </conditionalFormatting>
  <conditionalFormatting sqref="G73:P73 R73:DC73">
    <cfRule type="cellIs" dxfId="55" priority="99" operator="equal">
      <formula>"T"</formula>
    </cfRule>
  </conditionalFormatting>
  <conditionalFormatting sqref="G25:DC25">
    <cfRule type="cellIs" dxfId="54" priority="84" operator="equal">
      <formula>"T"</formula>
    </cfRule>
  </conditionalFormatting>
  <conditionalFormatting sqref="G43:P43 R43:DC43">
    <cfRule type="cellIs" dxfId="53" priority="83" operator="equal">
      <formula>"T"</formula>
    </cfRule>
  </conditionalFormatting>
  <conditionalFormatting sqref="G45:P45 R45:DC45">
    <cfRule type="cellIs" dxfId="52" priority="82" operator="equal">
      <formula>"T"</formula>
    </cfRule>
  </conditionalFormatting>
  <conditionalFormatting sqref="G47:P47 R47:DC47">
    <cfRule type="cellIs" dxfId="51" priority="81" operator="equal">
      <formula>"T"</formula>
    </cfRule>
  </conditionalFormatting>
  <conditionalFormatting sqref="G61:P61 R61:DC61">
    <cfRule type="cellIs" dxfId="50" priority="76" operator="equal">
      <formula>"T"</formula>
    </cfRule>
  </conditionalFormatting>
  <conditionalFormatting sqref="G63:P63 R63:DC63">
    <cfRule type="cellIs" dxfId="49" priority="75" operator="equal">
      <formula>"T"</formula>
    </cfRule>
  </conditionalFormatting>
  <conditionalFormatting sqref="G65:P65 R65:DC65">
    <cfRule type="cellIs" dxfId="48" priority="74" operator="equal">
      <formula>"T"</formula>
    </cfRule>
  </conditionalFormatting>
  <conditionalFormatting sqref="G67:P67 R67:DC67">
    <cfRule type="cellIs" dxfId="47" priority="73" operator="equal">
      <formula>"T"</formula>
    </cfRule>
  </conditionalFormatting>
  <conditionalFormatting sqref="G69:P69 R69:DC69">
    <cfRule type="cellIs" dxfId="46" priority="72" operator="equal">
      <formula>"T"</formula>
    </cfRule>
  </conditionalFormatting>
  <conditionalFormatting sqref="G71:P71 R71:DC71">
    <cfRule type="cellIs" dxfId="45" priority="71" operator="equal">
      <formula>"T"</formula>
    </cfRule>
  </conditionalFormatting>
  <conditionalFormatting sqref="G75:P75 R75:DC75">
    <cfRule type="cellIs" dxfId="44" priority="53" operator="equal">
      <formula>"T"</formula>
    </cfRule>
  </conditionalFormatting>
  <conditionalFormatting sqref="G77:P77 R77:DC77">
    <cfRule type="cellIs" dxfId="43" priority="52" operator="equal">
      <formula>"T"</formula>
    </cfRule>
  </conditionalFormatting>
  <conditionalFormatting sqref="G79:P79 R79:DC79">
    <cfRule type="cellIs" dxfId="42" priority="51" operator="equal">
      <formula>"T"</formula>
    </cfRule>
  </conditionalFormatting>
  <conditionalFormatting sqref="G81:P81 R81:DC81">
    <cfRule type="cellIs" dxfId="41" priority="50" operator="equal">
      <formula>"T"</formula>
    </cfRule>
  </conditionalFormatting>
  <conditionalFormatting sqref="G83:P83 R83:DC83">
    <cfRule type="cellIs" dxfId="40" priority="49" operator="equal">
      <formula>"T"</formula>
    </cfRule>
  </conditionalFormatting>
  <conditionalFormatting sqref="G85:P85 R85:DC85">
    <cfRule type="cellIs" dxfId="39" priority="48" operator="equal">
      <formula>"T"</formula>
    </cfRule>
  </conditionalFormatting>
  <conditionalFormatting sqref="G87:P87 R87:DC87">
    <cfRule type="cellIs" dxfId="38" priority="47" operator="equal">
      <formula>"T"</formula>
    </cfRule>
  </conditionalFormatting>
  <conditionalFormatting sqref="G89:P89 R89:DC89">
    <cfRule type="cellIs" dxfId="37" priority="46" operator="equal">
      <formula>"T"</formula>
    </cfRule>
  </conditionalFormatting>
  <conditionalFormatting sqref="G51:P51 R51:DC51">
    <cfRule type="cellIs" dxfId="36" priority="45" operator="equal">
      <formula>"T"</formula>
    </cfRule>
  </conditionalFormatting>
  <conditionalFormatting sqref="G53:P53 R53:DC53">
    <cfRule type="cellIs" dxfId="35" priority="44" operator="equal">
      <formula>"T"</formula>
    </cfRule>
  </conditionalFormatting>
  <conditionalFormatting sqref="G55:P55 R55:DC55">
    <cfRule type="cellIs" dxfId="34" priority="43" operator="equal">
      <formula>"T"</formula>
    </cfRule>
  </conditionalFormatting>
  <conditionalFormatting sqref="G57:P57 R57:DC57">
    <cfRule type="cellIs" dxfId="33" priority="42" operator="equal">
      <formula>"T"</formula>
    </cfRule>
  </conditionalFormatting>
  <conditionalFormatting sqref="Q5:Q24">
    <cfRule type="cellIs" dxfId="32" priority="41" operator="equal">
      <formula>"T"</formula>
    </cfRule>
  </conditionalFormatting>
  <conditionalFormatting sqref="Q41">
    <cfRule type="cellIs" dxfId="31" priority="39" operator="equal">
      <formula>"T"</formula>
    </cfRule>
  </conditionalFormatting>
  <conditionalFormatting sqref="Q49">
    <cfRule type="cellIs" dxfId="30" priority="38" operator="equal">
      <formula>"T"</formula>
    </cfRule>
  </conditionalFormatting>
  <conditionalFormatting sqref="Q59">
    <cfRule type="cellIs" dxfId="29" priority="37" operator="equal">
      <formula>"T"</formula>
    </cfRule>
  </conditionalFormatting>
  <conditionalFormatting sqref="Q73">
    <cfRule type="cellIs" dxfId="28" priority="36" operator="equal">
      <formula>"T"</formula>
    </cfRule>
  </conditionalFormatting>
  <conditionalFormatting sqref="Q43">
    <cfRule type="cellIs" dxfId="27" priority="28" operator="equal">
      <formula>"T"</formula>
    </cfRule>
  </conditionalFormatting>
  <conditionalFormatting sqref="Q45">
    <cfRule type="cellIs" dxfId="26" priority="27" operator="equal">
      <formula>"T"</formula>
    </cfRule>
  </conditionalFormatting>
  <conditionalFormatting sqref="Q47">
    <cfRule type="cellIs" dxfId="25" priority="26" operator="equal">
      <formula>"T"</formula>
    </cfRule>
  </conditionalFormatting>
  <conditionalFormatting sqref="Q61">
    <cfRule type="cellIs" dxfId="24" priority="25" operator="equal">
      <formula>"T"</formula>
    </cfRule>
  </conditionalFormatting>
  <conditionalFormatting sqref="Q63">
    <cfRule type="cellIs" dxfId="23" priority="24" operator="equal">
      <formula>"T"</formula>
    </cfRule>
  </conditionalFormatting>
  <conditionalFormatting sqref="Q65">
    <cfRule type="cellIs" dxfId="22" priority="23" operator="equal">
      <formula>"T"</formula>
    </cfRule>
  </conditionalFormatting>
  <conditionalFormatting sqref="Q67">
    <cfRule type="cellIs" dxfId="21" priority="22" operator="equal">
      <formula>"T"</formula>
    </cfRule>
  </conditionalFormatting>
  <conditionalFormatting sqref="Q69">
    <cfRule type="cellIs" dxfId="20" priority="21" operator="equal">
      <formula>"T"</formula>
    </cfRule>
  </conditionalFormatting>
  <conditionalFormatting sqref="Q71">
    <cfRule type="cellIs" dxfId="19" priority="20" operator="equal">
      <formula>"T"</formula>
    </cfRule>
  </conditionalFormatting>
  <conditionalFormatting sqref="Q75">
    <cfRule type="cellIs" dxfId="18" priority="19" operator="equal">
      <formula>"T"</formula>
    </cfRule>
  </conditionalFormatting>
  <conditionalFormatting sqref="Q77">
    <cfRule type="cellIs" dxfId="17" priority="18" operator="equal">
      <formula>"T"</formula>
    </cfRule>
  </conditionalFormatting>
  <conditionalFormatting sqref="Q79">
    <cfRule type="cellIs" dxfId="16" priority="17" operator="equal">
      <formula>"T"</formula>
    </cfRule>
  </conditionalFormatting>
  <conditionalFormatting sqref="Q81">
    <cfRule type="cellIs" dxfId="15" priority="16" operator="equal">
      <formula>"T"</formula>
    </cfRule>
  </conditionalFormatting>
  <conditionalFormatting sqref="Q83">
    <cfRule type="cellIs" dxfId="14" priority="15" operator="equal">
      <formula>"T"</formula>
    </cfRule>
  </conditionalFormatting>
  <conditionalFormatting sqref="Q85">
    <cfRule type="cellIs" dxfId="13" priority="14" operator="equal">
      <formula>"T"</formula>
    </cfRule>
  </conditionalFormatting>
  <conditionalFormatting sqref="Q87">
    <cfRule type="cellIs" dxfId="12" priority="13" operator="equal">
      <formula>"T"</formula>
    </cfRule>
  </conditionalFormatting>
  <conditionalFormatting sqref="Q89">
    <cfRule type="cellIs" dxfId="11" priority="12" operator="equal">
      <formula>"T"</formula>
    </cfRule>
  </conditionalFormatting>
  <conditionalFormatting sqref="Q51">
    <cfRule type="cellIs" dxfId="10" priority="11" operator="equal">
      <formula>"T"</formula>
    </cfRule>
  </conditionalFormatting>
  <conditionalFormatting sqref="Q53">
    <cfRule type="cellIs" dxfId="9" priority="10" operator="equal">
      <formula>"T"</formula>
    </cfRule>
  </conditionalFormatting>
  <conditionalFormatting sqref="Q55">
    <cfRule type="cellIs" dxfId="8" priority="9" operator="equal">
      <formula>"T"</formula>
    </cfRule>
  </conditionalFormatting>
  <conditionalFormatting sqref="Q57">
    <cfRule type="cellIs" dxfId="7" priority="8" operator="equal">
      <formula>"T"</formula>
    </cfRule>
  </conditionalFormatting>
  <conditionalFormatting sqref="G27:DC27">
    <cfRule type="cellIs" dxfId="6" priority="7" operator="equal">
      <formula>"T"</formula>
    </cfRule>
  </conditionalFormatting>
  <conditionalFormatting sqref="G29:DC29">
    <cfRule type="cellIs" dxfId="5" priority="6" operator="equal">
      <formula>"T"</formula>
    </cfRule>
  </conditionalFormatting>
  <conditionalFormatting sqref="G31:DC31">
    <cfRule type="cellIs" dxfId="4" priority="5" operator="equal">
      <formula>"T"</formula>
    </cfRule>
  </conditionalFormatting>
  <conditionalFormatting sqref="G33:DC33">
    <cfRule type="cellIs" dxfId="3" priority="4" operator="equal">
      <formula>"T"</formula>
    </cfRule>
  </conditionalFormatting>
  <conditionalFormatting sqref="G35:DC35">
    <cfRule type="cellIs" dxfId="2" priority="3" operator="equal">
      <formula>"T"</formula>
    </cfRule>
  </conditionalFormatting>
  <conditionalFormatting sqref="G37:DC37">
    <cfRule type="cellIs" dxfId="1" priority="2" operator="equal">
      <formula>"T"</formula>
    </cfRule>
  </conditionalFormatting>
  <conditionalFormatting sqref="G39:DC39">
    <cfRule type="cellIs" dxfId="0" priority="1" operator="equal">
      <formula>"T"</formula>
    </cfRule>
  </conditionalFormatting>
  <printOptions horizontalCentered="1"/>
  <pageMargins left="0.7" right="0.7" top="0.75" bottom="0.75" header="0.3" footer="0.3"/>
  <pageSetup paperSize="17" scale="57" orientation="landscape" r:id="rId1"/>
  <headerFooter>
    <oddFooter>&amp;LAECOM Technical Services, Inc., Scott Horsley, and Offshoots, Inc. ©&amp;CCape Cod Commission
208 Plan
Reliability Range of Nitrogen Reduction&amp;RPage &amp;P of &amp;N
Revised: August 13, 2014</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f601aed3de749a898c3b06239b052af xmlns="ca10bfc4-f870-4cc3-8a61-ea9a369e3574">
      <Terms xmlns="http://schemas.microsoft.com/office/infopath/2007/PartnerControls">
        <TermInfo xmlns="http://schemas.microsoft.com/office/infopath/2007/PartnerControls">
          <TermName xmlns="http://schemas.microsoft.com/office/infopath/2007/PartnerControls">Cape Cod Commission</TermName>
          <TermId xmlns="http://schemas.microsoft.com/office/infopath/2007/PartnerControls">4607cd07-312c-43b3-b5aa-f93d48ff326a</TermId>
        </TermInfo>
      </Terms>
    </pf601aed3de749a898c3b06239b052af>
    <k20b5b353c2d4a59a44170cce5889c20 xmlns="5d982bf3-a48c-4351-8fdb-12b10060851e">
      <Terms xmlns="http://schemas.microsoft.com/office/infopath/2007/PartnerControls"/>
    </k20b5b353c2d4a59a44170cce5889c20>
    <TaxKeywordTaxHTField xmlns="9be3f55f-8098-485e-a615-a10e4181e135">
      <Terms xmlns="http://schemas.microsoft.com/office/infopath/2007/PartnerControls"/>
    </TaxKeywordTaxHTField>
    <k1250adc1ff244fa903739753c5e73ff xmlns="5d982bf3-a48c-4351-8fdb-12b10060851e">
      <Terms xmlns="http://schemas.microsoft.com/office/infopath/2007/PartnerControls">
        <TermInfo xmlns="http://schemas.microsoft.com/office/infopath/2007/PartnerControls">
          <TermName xmlns="http://schemas.microsoft.com/office/infopath/2007/PartnerControls">web</TermName>
          <TermId xmlns="http://schemas.microsoft.com/office/infopath/2007/PartnerControls">9932c02a-dfc7-4cbe-ae78-3976b987aa6a</TermId>
        </TermInfo>
      </Terms>
    </k1250adc1ff244fa903739753c5e73ff>
    <mc1af4c238594e12bbb9206d9aa9c5d3 xmlns="5d982bf3-a48c-4351-8fdb-12b10060851e">
      <Terms xmlns="http://schemas.microsoft.com/office/infopath/2007/PartnerControls">
        <TermInfo xmlns="http://schemas.microsoft.com/office/infopath/2007/PartnerControls">
          <TermName xmlns="http://schemas.microsoft.com/office/infopath/2007/PartnerControls">208 Plan</TermName>
          <TermId xmlns="http://schemas.microsoft.com/office/infopath/2007/PartnerControls">c112ee28-e7be-407d-9af9-6c47baa79ee3</TermId>
        </TermInfo>
      </Terms>
    </mc1af4c238594e12bbb9206d9aa9c5d3>
    <TaxCatchAll xmlns="9be3f55f-8098-485e-a615-a10e4181e135">
      <Value>101</Value>
      <Value>694</Value>
      <Value>897</Value>
      <Value>863</Value>
      <Value>206</Value>
      <Value>103</Value>
    </TaxCatchAll>
    <ned4871b43f142479a1da9e4dec3ead3 xmlns="5d982bf3-a48c-4351-8fdb-12b10060851e">
      <Terms xmlns="http://schemas.microsoft.com/office/infopath/2007/PartnerControls">
        <TermInfo xmlns="http://schemas.microsoft.com/office/infopath/2007/PartnerControls">
          <TermName xmlns="http://schemas.microsoft.com/office/infopath/2007/PartnerControls">208 Plan</TermName>
          <TermId xmlns="http://schemas.microsoft.com/office/infopath/2007/PartnerControls">c112ee28-e7be-407d-9af9-6c47baa79ee3</TermId>
        </TermInfo>
      </Terms>
    </ned4871b43f142479a1da9e4dec3ead3>
    <MeetingTime xmlns="5d982bf3-a48c-4351-8fdb-12b10060851e" xsi:nil="true"/>
    <DocumentSetDescription xmlns="http://schemas.microsoft.com/sharepoint/v3" xsi:nil="true"/>
    <a7e4010d7db74f61a5af14041442919b xmlns="5d982bf3-a48c-4351-8fdb-12b10060851e">
      <Terms xmlns="http://schemas.microsoft.com/office/infopath/2007/PartnerControls"/>
    </a7e4010d7db74f61a5af14041442919b>
    <pd51286b66fa4a86843a97fa5c0abf9b xmlns="5d982bf3-a48c-4351-8fdb-12b10060851e">
      <Terms xmlns="http://schemas.microsoft.com/office/infopath/2007/PartnerControls"/>
    </pd51286b66fa4a86843a97fa5c0abf9b>
    <ia4fe8ee8d364c9f8d8b37e8c9aeedb6 xmlns="5d982bf3-a48c-4351-8fdb-12b10060851e">
      <Terms xmlns="http://schemas.microsoft.com/office/infopath/2007/PartnerControls"/>
    </ia4fe8ee8d364c9f8d8b37e8c9aeedb6>
    <h112d938ec0d43dd9854c9c3eeef9a58 xmlns="ca10bfc4-f870-4cc3-8a61-ea9a369e3574">
      <Terms xmlns="http://schemas.microsoft.com/office/infopath/2007/PartnerControls"/>
    </h112d938ec0d43dd9854c9c3eeef9a58>
    <fe949326ff6d4687acbf295dda149b37 xmlns="5d982bf3-a48c-4351-8fdb-12b10060851e">
      <Terms xmlns="http://schemas.microsoft.com/office/infopath/2007/PartnerControls"/>
    </fe949326ff6d4687acbf295dda149b37>
    <f5e281ca94284717b7c7159eb77159f5 xmlns="ca10bfc4-f870-4cc3-8a61-ea9a369e3574">
      <Terms xmlns="http://schemas.microsoft.com/office/infopath/2007/PartnerControls">
        <TermInfo xmlns="http://schemas.microsoft.com/office/infopath/2007/PartnerControls">
          <TermName xmlns="http://schemas.microsoft.com/office/infopath/2007/PartnerControls">tech-matrix</TermName>
          <TermId xmlns="http://schemas.microsoft.com/office/infopath/2007/PartnerControls">5c209719-8a61-49bd-9ea4-257e68ba0902</TermId>
        </TermInfo>
      </Terms>
    </f5e281ca94284717b7c7159eb77159f5>
    <h7e9c4cc72fb4de094bf87e96890c0c2 xmlns="ca10bfc4-f870-4cc3-8a61-ea9a369e3574">
      <Terms xmlns="http://schemas.microsoft.com/office/infopath/2007/PartnerControls">
        <TermInfo xmlns="http://schemas.microsoft.com/office/infopath/2007/PartnerControls">
          <TermName xmlns="http://schemas.microsoft.com/office/infopath/2007/PartnerControls">2020</TermName>
          <TermId xmlns="http://schemas.microsoft.com/office/infopath/2007/PartnerControls">dc16ad2c-1285-48c6-9f17-bd9e8730b1d2</TermId>
        </TermInfo>
      </Terms>
    </h7e9c4cc72fb4de094bf87e96890c0c2>
    <aeec274ad21c4909ab5fb112d68909fb xmlns="5d982bf3-a48c-4351-8fdb-12b10060851e">
      <Terms xmlns="http://schemas.microsoft.com/office/infopath/2007/PartnerControls"/>
    </aeec274ad21c4909ab5fb112d68909fb>
    <lcf76f155ced4ddcb4097134ff3c332f xmlns="ca10bfc4-f870-4cc3-8a61-ea9a369e357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30D1B4B03E9CC4698987C706C095295" ma:contentTypeVersion="86" ma:contentTypeDescription="Create a new document." ma:contentTypeScope="" ma:versionID="d2f8a76ecddb6bc0dcb51fa31e9f8d64">
  <xsd:schema xmlns:xsd="http://www.w3.org/2001/XMLSchema" xmlns:xs="http://www.w3.org/2001/XMLSchema" xmlns:p="http://schemas.microsoft.com/office/2006/metadata/properties" xmlns:ns1="http://schemas.microsoft.com/sharepoint/v3" xmlns:ns2="ca10bfc4-f870-4cc3-8a61-ea9a369e3574" xmlns:ns3="5d982bf3-a48c-4351-8fdb-12b10060851e" xmlns:ns4="9be3f55f-8098-485e-a615-a10e4181e135" targetNamespace="http://schemas.microsoft.com/office/2006/metadata/properties" ma:root="true" ma:fieldsID="8951583b74818b3f2d7d9357271cfec2" ns1:_="" ns2:_="" ns3:_="" ns4:_="">
    <xsd:import namespace="http://schemas.microsoft.com/sharepoint/v3"/>
    <xsd:import namespace="ca10bfc4-f870-4cc3-8a61-ea9a369e3574"/>
    <xsd:import namespace="5d982bf3-a48c-4351-8fdb-12b10060851e"/>
    <xsd:import namespace="9be3f55f-8098-485e-a615-a10e4181e135"/>
    <xsd:element name="properties">
      <xsd:complexType>
        <xsd:sequence>
          <xsd:element name="documentManagement">
            <xsd:complexType>
              <xsd:all>
                <xsd:element ref="ns4:TaxCatchAll" minOccurs="0"/>
                <xsd:element ref="ns3:ia4fe8ee8d364c9f8d8b37e8c9aeedb6" minOccurs="0"/>
                <xsd:element ref="ns2:h112d938ec0d43dd9854c9c3eeef9a58" minOccurs="0"/>
                <xsd:element ref="ns2:pf601aed3de749a898c3b06239b052af" minOccurs="0"/>
                <xsd:element ref="ns2:h7e9c4cc72fb4de094bf87e96890c0c2" minOccurs="0"/>
                <xsd:element ref="ns3:a7e4010d7db74f61a5af14041442919b" minOccurs="0"/>
                <xsd:element ref="ns2:MediaServiceMetadata" minOccurs="0"/>
                <xsd:element ref="ns2:MediaServiceFastMetadata" minOccurs="0"/>
                <xsd:element ref="ns2:MediaServiceAutoTags" minOccurs="0"/>
                <xsd:element ref="ns2:MediaServiceOCR" minOccurs="0"/>
                <xsd:element ref="ns3:ned4871b43f142479a1da9e4dec3ead3" minOccurs="0"/>
                <xsd:element ref="ns3:pd51286b66fa4a86843a97fa5c0abf9b" minOccurs="0"/>
                <xsd:element ref="ns3:k20b5b353c2d4a59a44170cce5889c20" minOccurs="0"/>
                <xsd:element ref="ns2:MediaServiceDateTaken" minOccurs="0"/>
                <xsd:element ref="ns2:MediaServiceLocation" minOccurs="0"/>
                <xsd:element ref="ns4:TaxKeywordTaxHTField" minOccurs="0"/>
                <xsd:element ref="ns2:f5e281ca94284717b7c7159eb77159f5" minOccurs="0"/>
                <xsd:element ref="ns3:k1250adc1ff244fa903739753c5e73ff" minOccurs="0"/>
                <xsd:element ref="ns3:MeetingTime" minOccurs="0"/>
                <xsd:element ref="ns3:fe949326ff6d4687acbf295dda149b37" minOccurs="0"/>
                <xsd:element ref="ns2:MediaServiceGenerationTime" minOccurs="0"/>
                <xsd:element ref="ns2:MediaServiceEventHashCode" minOccurs="0"/>
                <xsd:element ref="ns3:aeec274ad21c4909ab5fb112d68909fb" minOccurs="0"/>
                <xsd:element ref="ns4:SharedWithUsers" minOccurs="0"/>
                <xsd:element ref="ns4:SharedWithDetails" minOccurs="0"/>
                <xsd:element ref="ns3:mc1af4c238594e12bbb9206d9aa9c5d3" minOccurs="0"/>
                <xsd:element ref="ns1:DocumentSetDescription" minOccurs="0"/>
                <xsd:element ref="ns2:lcf76f155ced4ddcb4097134ff3c332f"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ocumentSetDescription" ma:index="48" nillable="true" ma:displayName="Description" ma:description="A description of the Document Set" ma:internalName="DocumentSetDescription">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a10bfc4-f870-4cc3-8a61-ea9a369e3574" elementFormDefault="qualified">
    <xsd:import namespace="http://schemas.microsoft.com/office/2006/documentManagement/types"/>
    <xsd:import namespace="http://schemas.microsoft.com/office/infopath/2007/PartnerControls"/>
    <xsd:element name="h112d938ec0d43dd9854c9c3eeef9a58" ma:index="16" nillable="true" ma:taxonomy="true" ma:internalName="h112d938ec0d43dd9854c9c3eeef9a58" ma:taxonomyFieldName="Program_x0020_Area" ma:displayName="Program Area" ma:readOnly="false" ma:default="" ma:fieldId="{1112d938-ec0d-43dd-9854-c9c3eeef9a58}" ma:taxonomyMulti="true" ma:sspId="cceb9721-df7c-4dbc-8f19-77f5dc396abe" ma:termSetId="bbb3c8d7-3f85-4b92-b602-0a181370541a" ma:anchorId="00000000-0000-0000-0000-000000000000" ma:open="false" ma:isKeyword="false">
      <xsd:complexType>
        <xsd:sequence>
          <xsd:element ref="pc:Terms" minOccurs="0" maxOccurs="1"/>
        </xsd:sequence>
      </xsd:complexType>
    </xsd:element>
    <xsd:element name="pf601aed3de749a898c3b06239b052af" ma:index="17" nillable="true" ma:taxonomy="true" ma:internalName="pf601aed3de749a898c3b06239b052af" ma:taxonomyFieldName="Agency" ma:displayName="Agency" ma:readOnly="false" ma:default="" ma:fieldId="{9f601aed-3de7-49a8-98c3-b06239b052af}" ma:taxonomyMulti="true" ma:sspId="cceb9721-df7c-4dbc-8f19-77f5dc396abe" ma:termSetId="a014325f-77f6-4581-a969-155462e883c4" ma:anchorId="00000000-0000-0000-0000-000000000000" ma:open="false" ma:isKeyword="false">
      <xsd:complexType>
        <xsd:sequence>
          <xsd:element ref="pc:Terms" minOccurs="0" maxOccurs="1"/>
        </xsd:sequence>
      </xsd:complexType>
    </xsd:element>
    <xsd:element name="h7e9c4cc72fb4de094bf87e96890c0c2" ma:index="18" nillable="true" ma:taxonomy="true" ma:internalName="h7e9c4cc72fb4de094bf87e96890c0c2" ma:taxonomyFieldName="Year" ma:displayName="Year" ma:indexed="true" ma:default="" ma:fieldId="{17e9c4cc-72fb-4de0-94bf-87e96890c0c2}" ma:sspId="cceb9721-df7c-4dbc-8f19-77f5dc396abe" ma:termSetId="038d3ef1-10e1-46c9-9eee-9c06d74a4573" ma:anchorId="00000000-0000-0000-0000-000000000000" ma:open="false" ma:isKeyword="false">
      <xsd:complexType>
        <xsd:sequence>
          <xsd:element ref="pc:Terms" minOccurs="0" maxOccurs="1"/>
        </xsd:sequence>
      </xsd:complexType>
    </xsd:element>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element name="MediaServiceAutoTags" ma:index="22" nillable="true" ma:displayName="MediaServiceAutoTags" ma:internalName="MediaServiceAutoTags" ma:readOnly="true">
      <xsd:simpleType>
        <xsd:restriction base="dms:Text"/>
      </xsd:simpleType>
    </xsd:element>
    <xsd:element name="MediaServiceOCR" ma:index="23" nillable="true" ma:displayName="MediaServiceOCR" ma:internalName="MediaServiceOCR" ma:readOnly="true">
      <xsd:simpleType>
        <xsd:restriction base="dms:Note">
          <xsd:maxLength value="255"/>
        </xsd:restriction>
      </xsd:simpleType>
    </xsd:element>
    <xsd:element name="MediaServiceDateTaken" ma:index="27" nillable="true" ma:displayName="MediaServiceDateTaken" ma:hidden="true" ma:internalName="MediaServiceDateTaken" ma:readOnly="true">
      <xsd:simpleType>
        <xsd:restriction base="dms:Text"/>
      </xsd:simpleType>
    </xsd:element>
    <xsd:element name="MediaServiceLocation" ma:index="28" nillable="true" ma:displayName="MediaServiceLocation" ma:internalName="MediaServiceLocation" ma:readOnly="true">
      <xsd:simpleType>
        <xsd:restriction base="dms:Text"/>
      </xsd:simpleType>
    </xsd:element>
    <xsd:element name="f5e281ca94284717b7c7159eb77159f5" ma:index="31" nillable="true" ma:taxonomy="true" ma:internalName="f5e281ca94284717b7c7159eb77159f5" ma:taxonomyFieldName="Project_x0020_ID" ma:displayName="Project ID" ma:default="" ma:fieldId="{f5e281ca-9428-4717-b7c7-159eb77159f5}" ma:taxonomyMulti="true" ma:sspId="cceb9721-df7c-4dbc-8f19-77f5dc396abe" ma:termSetId="a246038d-ca75-49fa-bd90-277acabb185f" ma:anchorId="00000000-0000-0000-0000-000000000000" ma:open="false" ma:isKeyword="false">
      <xsd:complexType>
        <xsd:sequence>
          <xsd:element ref="pc:Terms" minOccurs="0" maxOccurs="1"/>
        </xsd:sequence>
      </xsd:complexType>
    </xsd:element>
    <xsd:element name="MediaServiceGenerationTime" ma:index="40" nillable="true" ma:displayName="MediaServiceGenerationTime" ma:hidden="true" ma:internalName="MediaServiceGenerationTime" ma:readOnly="true">
      <xsd:simpleType>
        <xsd:restriction base="dms:Text"/>
      </xsd:simpleType>
    </xsd:element>
    <xsd:element name="MediaServiceEventHashCode" ma:index="41" nillable="true" ma:displayName="MediaServiceEventHashCode" ma:hidden="true" ma:internalName="MediaServiceEventHashCode" ma:readOnly="true">
      <xsd:simpleType>
        <xsd:restriction base="dms:Text"/>
      </xsd:simpleType>
    </xsd:element>
    <xsd:element name="lcf76f155ced4ddcb4097134ff3c332f" ma:index="50" nillable="true" ma:taxonomy="true" ma:internalName="lcf76f155ced4ddcb4097134ff3c332f" ma:taxonomyFieldName="MediaServiceImageTags" ma:displayName="Image Tags" ma:readOnly="false" ma:fieldId="{5cf76f15-5ced-4ddc-b409-7134ff3c332f}" ma:taxonomyMulti="true" ma:sspId="cceb9721-df7c-4dbc-8f19-77f5dc396ab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51" nillable="true" ma:displayName="MediaServiceObjectDetectorVersions" ma:hidden="true" ma:indexed="true" ma:internalName="MediaServiceObjectDetectorVersions" ma:readOnly="true">
      <xsd:simpleType>
        <xsd:restriction base="dms:Text"/>
      </xsd:simpleType>
    </xsd:element>
    <xsd:element name="MediaServiceSearchProperties" ma:index="5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982bf3-a48c-4351-8fdb-12b10060851e" elementFormDefault="qualified">
    <xsd:import namespace="http://schemas.microsoft.com/office/2006/documentManagement/types"/>
    <xsd:import namespace="http://schemas.microsoft.com/office/infopath/2007/PartnerControls"/>
    <xsd:element name="ia4fe8ee8d364c9f8d8b37e8c9aeedb6" ma:index="15" nillable="true" ma:taxonomy="true" ma:internalName="ia4fe8ee8d364c9f8d8b37e8c9aeedb6" ma:taxonomyFieldName="Town_x0020_or_x0020_Village" ma:displayName="Town or Village" ma:default="" ma:fieldId="{2a4fe8ee-8d36-4c9f-8d8b-37e8c9aeedb6}" ma:taxonomyMulti="true" ma:sspId="cceb9721-df7c-4dbc-8f19-77f5dc396abe" ma:termSetId="64630a1b-9342-481d-953c-3caea2ee54e7" ma:anchorId="00000000-0000-0000-0000-000000000000" ma:open="false" ma:isKeyword="false">
      <xsd:complexType>
        <xsd:sequence>
          <xsd:element ref="pc:Terms" minOccurs="0" maxOccurs="1"/>
        </xsd:sequence>
      </xsd:complexType>
    </xsd:element>
    <xsd:element name="a7e4010d7db74f61a5af14041442919b" ma:index="19" nillable="true" ma:taxonomy="true" ma:internalName="a7e4010d7db74f61a5af14041442919b" ma:taxonomyFieldName="Regulatory_x0020_Review_x0020_Types" ma:displayName="Regulatory Review Types" ma:indexed="true" ma:default="" ma:fieldId="{a7e4010d-7db7-4f61-a5af-14041442919b}" ma:sspId="cceb9721-df7c-4dbc-8f19-77f5dc396abe" ma:termSetId="e757629f-12ed-4ccb-be55-a034738c244c" ma:anchorId="00000000-0000-0000-0000-000000000000" ma:open="false" ma:isKeyword="false">
      <xsd:complexType>
        <xsd:sequence>
          <xsd:element ref="pc:Terms" minOccurs="0" maxOccurs="1"/>
        </xsd:sequence>
      </xsd:complexType>
    </xsd:element>
    <xsd:element name="ned4871b43f142479a1da9e4dec3ead3" ma:index="24" nillable="true" ma:taxonomy="true" ma:internalName="ned4871b43f142479a1da9e4dec3ead3" ma:taxonomyFieldName="CCC_x0020_Plans" ma:displayName="CCC Plans" ma:default="" ma:fieldId="{7ed4871b-43f1-4247-9a1d-a9e4dec3ead3}" ma:sspId="cceb9721-df7c-4dbc-8f19-77f5dc396abe" ma:termSetId="e8cc82b8-12c0-455f-a3a2-81036c43199c" ma:anchorId="00000000-0000-0000-0000-000000000000" ma:open="false" ma:isKeyword="false">
      <xsd:complexType>
        <xsd:sequence>
          <xsd:element ref="pc:Terms" minOccurs="0" maxOccurs="1"/>
        </xsd:sequence>
      </xsd:complexType>
    </xsd:element>
    <xsd:element name="pd51286b66fa4a86843a97fa5c0abf9b" ma:index="25" nillable="true" ma:taxonomy="true" ma:internalName="pd51286b66fa4a86843a97fa5c0abf9b" ma:taxonomyFieldName="CCC_x0020_Keywords" ma:displayName="CCC Keywords" ma:default="" ma:fieldId="{9d51286b-66fa-4a86-843a-97fa5c0abf9b}" ma:taxonomyMulti="true" ma:sspId="cceb9721-df7c-4dbc-8f19-77f5dc396abe" ma:termSetId="237bb7e9-aef9-4b25-8f13-0a1384048748" ma:anchorId="00000000-0000-0000-0000-000000000000" ma:open="true" ma:isKeyword="false">
      <xsd:complexType>
        <xsd:sequence>
          <xsd:element ref="pc:Terms" minOccurs="0" maxOccurs="1"/>
        </xsd:sequence>
      </xsd:complexType>
    </xsd:element>
    <xsd:element name="k20b5b353c2d4a59a44170cce5889c20" ma:index="26" nillable="true" ma:taxonomy="true" ma:internalName="k20b5b353c2d4a59a44170cce5889c20" ma:taxonomyFieldName="CCC_x0020_Document_x0020_Type" ma:displayName="Document Type" ma:default="" ma:fieldId="{420b5b35-3c2d-4a59-a441-70cce5889c20}" ma:sspId="cceb9721-df7c-4dbc-8f19-77f5dc396abe" ma:termSetId="2f5adcc4-b536-4831-8487-2b04e936f6a9" ma:anchorId="00000000-0000-0000-0000-000000000000" ma:open="false" ma:isKeyword="false">
      <xsd:complexType>
        <xsd:sequence>
          <xsd:element ref="pc:Terms" minOccurs="0" maxOccurs="1"/>
        </xsd:sequence>
      </xsd:complexType>
    </xsd:element>
    <xsd:element name="k1250adc1ff244fa903739753c5e73ff" ma:index="36" nillable="true" ma:taxonomy="true" ma:internalName="k1250adc1ff244fa903739753c5e73ff" ma:taxonomyFieldName="WebResources" ma:displayName="WebResources" ma:default="101;#web|9932c02a-dfc7-4cbe-ae78-3976b987aa6a" ma:fieldId="{41250adc-1ff2-44fa-9037-39753c5e73ff}" ma:sspId="cceb9721-df7c-4dbc-8f19-77f5dc396abe" ma:termSetId="3a3b1e03-2606-4712-baee-4715bbe485c1" ma:anchorId="00000000-0000-0000-0000-000000000000" ma:open="false" ma:isKeyword="false">
      <xsd:complexType>
        <xsd:sequence>
          <xsd:element ref="pc:Terms" minOccurs="0" maxOccurs="1"/>
        </xsd:sequence>
      </xsd:complexType>
    </xsd:element>
    <xsd:element name="MeetingTime" ma:index="37" nillable="true" ma:displayName="MeetingTime" ma:format="DateTime" ma:indexed="true" ma:internalName="MeetingTime">
      <xsd:simpleType>
        <xsd:restriction base="dms:DateTime"/>
      </xsd:simpleType>
    </xsd:element>
    <xsd:element name="fe949326ff6d4687acbf295dda149b37" ma:index="39" nillable="true" ma:taxonomy="true" ma:internalName="fe949326ff6d4687acbf295dda149b37" ma:taxonomyFieldName="SiteDomains" ma:displayName="Domains" ma:default="" ma:fieldId="{fe949326-ff6d-4687-acbf-295dda149b37}" ma:sspId="cceb9721-df7c-4dbc-8f19-77f5dc396abe" ma:termSetId="f3a86052-10d6-4365-9271-fd817bb07314" ma:anchorId="00000000-0000-0000-0000-000000000000" ma:open="false" ma:isKeyword="false">
      <xsd:complexType>
        <xsd:sequence>
          <xsd:element ref="pc:Terms" minOccurs="0" maxOccurs="1"/>
        </xsd:sequence>
      </xsd:complexType>
    </xsd:element>
    <xsd:element name="aeec274ad21c4909ab5fb112d68909fb" ma:index="43" nillable="true" ma:taxonomy="true" ma:internalName="aeec274ad21c4909ab5fb112d68909fb" ma:taxonomyFieldName="Document_x0020_Status" ma:displayName="Document Status" ma:default="" ma:fieldId="{aeec274a-d21c-4909-ab5f-b112d68909fb}" ma:sspId="cceb9721-df7c-4dbc-8f19-77f5dc396abe" ma:termSetId="4ec54bb5-14a5-4b45-bcdb-6e98c6089fdf" ma:anchorId="00000000-0000-0000-0000-000000000000" ma:open="false" ma:isKeyword="false">
      <xsd:complexType>
        <xsd:sequence>
          <xsd:element ref="pc:Terms" minOccurs="0" maxOccurs="1"/>
        </xsd:sequence>
      </xsd:complexType>
    </xsd:element>
    <xsd:element name="mc1af4c238594e12bbb9206d9aa9c5d3" ma:index="46" nillable="true" ma:taxonomy="true" ma:internalName="mc1af4c238594e12bbb9206d9aa9c5d3" ma:taxonomyFieldName="Project_x0020_ID0" ma:displayName="Project ID" ma:default="" ma:fieldId="{6c1af4c2-3859-4e12-bbb9-206d9aa9c5d3}" ma:taxonomyMulti="true" ma:sspId="cceb9721-df7c-4dbc-8f19-77f5dc396abe" ma:termSetId="a246038d-ca75-49fa-bd90-277acabb185f" ma:anchorId="00000000-0000-0000-0000-000000000000"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9be3f55f-8098-485e-a615-a10e4181e13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2768a9f4-479c-4e6f-93d4-4292895fbc04}" ma:internalName="TaxCatchAll" ma:showField="CatchAllData" ma:web="9be3f55f-8098-485e-a615-a10e4181e135">
      <xsd:complexType>
        <xsd:complexContent>
          <xsd:extension base="dms:MultiChoiceLookup">
            <xsd:sequence>
              <xsd:element name="Value" type="dms:Lookup" maxOccurs="unbounded" minOccurs="0" nillable="true"/>
            </xsd:sequence>
          </xsd:extension>
        </xsd:complexContent>
      </xsd:complexType>
    </xsd:element>
    <xsd:element name="TaxKeywordTaxHTField" ma:index="29" nillable="true" ma:taxonomy="true" ma:internalName="TaxKeywordTaxHTField" ma:taxonomyFieldName="TaxKeyword" ma:displayName="Enterprise Keywords" ma:fieldId="{23f27201-bee3-471e-b2e7-b64fd8b7ca38}" ma:taxonomyMulti="true" ma:sspId="cceb9721-df7c-4dbc-8f19-77f5dc396abe" ma:termSetId="00000000-0000-0000-0000-000000000000" ma:anchorId="00000000-0000-0000-0000-000000000000" ma:open="true" ma:isKeyword="true">
      <xsd:complexType>
        <xsd:sequence>
          <xsd:element ref="pc:Terms" minOccurs="0" maxOccurs="1"/>
        </xsd:sequence>
      </xsd:complexType>
    </xsd:element>
    <xsd:element name="SharedWithUsers" ma:index="4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4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2"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A48A2F0-DC57-433E-9E01-509FC8FBE968}">
  <ds:schemaRefs>
    <ds:schemaRef ds:uri="http://schemas.microsoft.com/sharepoint/v3/contenttype/forms"/>
  </ds:schemaRefs>
</ds:datastoreItem>
</file>

<file path=customXml/itemProps2.xml><?xml version="1.0" encoding="utf-8"?>
<ds:datastoreItem xmlns:ds="http://schemas.openxmlformats.org/officeDocument/2006/customXml" ds:itemID="{613AE9E2-0370-4F41-B462-9B0B0339AE77}">
  <ds:schemaRef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587ac2ab-6295-41f8-99ed-e8f2b755ccc1"/>
    <ds:schemaRef ds:uri="http://www.w3.org/XML/1998/namespace"/>
  </ds:schemaRefs>
</ds:datastoreItem>
</file>

<file path=customXml/itemProps3.xml><?xml version="1.0" encoding="utf-8"?>
<ds:datastoreItem xmlns:ds="http://schemas.openxmlformats.org/officeDocument/2006/customXml" ds:itemID="{E960FC7B-89AD-4A7D-900F-BE4E865238E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Technologies Matrix</vt:lpstr>
      <vt:lpstr>Changes made to v 3.0</vt:lpstr>
      <vt:lpstr>Notes</vt:lpstr>
      <vt:lpstr>Stormwater Details</vt:lpstr>
      <vt:lpstr>Aquaculture Details</vt:lpstr>
      <vt:lpstr>N Reduction Graph</vt:lpstr>
      <vt:lpstr>'N Reduction Graph'!Print_Area</vt:lpstr>
    </vt:vector>
  </TitlesOfParts>
  <Company>HW</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scott horsley</dc:creator>
  <cp:lastModifiedBy>Tim Pasakarnis</cp:lastModifiedBy>
  <cp:lastPrinted>2019-12-11T21:27:12Z</cp:lastPrinted>
  <dcterms:created xsi:type="dcterms:W3CDTF">2013-09-12T18:17:20Z</dcterms:created>
  <dcterms:modified xsi:type="dcterms:W3CDTF">2020-04-30T14:17:39Z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ebResources">
    <vt:lpwstr>101;#web|9932c02a-dfc7-4cbe-ae78-3976b987aa6a</vt:lpwstr>
  </property>
  <property fmtid="{D5CDD505-2E9C-101B-9397-08002B2CF9AE}" pid="3" name="Agency">
    <vt:lpwstr>103;#Cape Cod Commission|4607cd07-312c-43b3-b5aa-f93d48ff326a</vt:lpwstr>
  </property>
  <property fmtid="{D5CDD505-2E9C-101B-9397-08002B2CF9AE}" pid="4" name="hbee406da43d444c8b478c1dea8b31b4">
    <vt:lpwstr/>
  </property>
  <property fmtid="{D5CDD505-2E9C-101B-9397-08002B2CF9AE}" pid="5" name="Year">
    <vt:lpwstr>863;#2020|dc16ad2c-1285-48c6-9f17-bd9e8730b1d2</vt:lpwstr>
  </property>
  <property fmtid="{D5CDD505-2E9C-101B-9397-08002B2CF9AE}" pid="6" name="ContentTypeId">
    <vt:lpwstr>0x010100A30D1B4B03E9CC4698987C706C095295</vt:lpwstr>
  </property>
  <property fmtid="{D5CDD505-2E9C-101B-9397-08002B2CF9AE}" pid="7" name="CCC Plans">
    <vt:lpwstr>206;#208 Plan|c112ee28-e7be-407d-9af9-6c47baa79ee3</vt:lpwstr>
  </property>
  <property fmtid="{D5CDD505-2E9C-101B-9397-08002B2CF9AE}" pid="8" name="Town or Village">
    <vt:lpwstr/>
  </property>
  <property fmtid="{D5CDD505-2E9C-101B-9397-08002B2CF9AE}" pid="9" name="ia4fe8ee8d364c9f8d8b37e8c9aeedb6">
    <vt:lpwstr/>
  </property>
  <property fmtid="{D5CDD505-2E9C-101B-9397-08002B2CF9AE}" pid="10" name="TaxCatchAll">
    <vt:lpwstr>206;#208 Plan|c112ee28-e7be-407d-9af9-6c47baa79ee3;#694;#208 Plan|c112ee28-e7be-407d-9af9-6c47baa79ee3</vt:lpwstr>
  </property>
  <property fmtid="{D5CDD505-2E9C-101B-9397-08002B2CF9AE}" pid="11" name="k20b5b353c2d4a59a44170cce5889c20">
    <vt:lpwstr/>
  </property>
  <property fmtid="{D5CDD505-2E9C-101B-9397-08002B2CF9AE}" pid="12" name="k1250adc1ff244fa903739753c5e73ff">
    <vt:lpwstr/>
  </property>
  <property fmtid="{D5CDD505-2E9C-101B-9397-08002B2CF9AE}" pid="13" name="fe949326ff6d4687acbf295dda149b37">
    <vt:lpwstr/>
  </property>
  <property fmtid="{D5CDD505-2E9C-101B-9397-08002B2CF9AE}" pid="14" name="SiteDomains">
    <vt:lpwstr/>
  </property>
  <property fmtid="{D5CDD505-2E9C-101B-9397-08002B2CF9AE}" pid="15" name="CCC Program Areas">
    <vt:lpwstr/>
  </property>
  <property fmtid="{D5CDD505-2E9C-101B-9397-08002B2CF9AE}" pid="16" name="Project ID">
    <vt:lpwstr>897;#tech-matrix|5c209719-8a61-49bd-9ea4-257e68ba0902</vt:lpwstr>
  </property>
  <property fmtid="{D5CDD505-2E9C-101B-9397-08002B2CF9AE}" pid="17" name="n182eaacf38a4fceb355f0d6962e9deb">
    <vt:lpwstr/>
  </property>
  <property fmtid="{D5CDD505-2E9C-101B-9397-08002B2CF9AE}" pid="18" name="Regulatory Review Types">
    <vt:lpwstr/>
  </property>
  <property fmtid="{D5CDD505-2E9C-101B-9397-08002B2CF9AE}" pid="19" name="CCC Document Type">
    <vt:lpwstr/>
  </property>
  <property fmtid="{D5CDD505-2E9C-101B-9397-08002B2CF9AE}" pid="20" name="a7e4010d7db74f61a5af14041442919b">
    <vt:lpwstr/>
  </property>
  <property fmtid="{D5CDD505-2E9C-101B-9397-08002B2CF9AE}" pid="21" name="aeec274ad21c4909ab5fb112d68909fb">
    <vt:lpwstr/>
  </property>
  <property fmtid="{D5CDD505-2E9C-101B-9397-08002B2CF9AE}" pid="22" name="j71a73172208464eb388c685d7fd5904">
    <vt:lpwstr/>
  </property>
  <property fmtid="{D5CDD505-2E9C-101B-9397-08002B2CF9AE}" pid="23" name="Document Status">
    <vt:lpwstr/>
  </property>
  <property fmtid="{D5CDD505-2E9C-101B-9397-08002B2CF9AE}" pid="24" name="ned4871b43f142479a1da9e4dec3ead3">
    <vt:lpwstr>208 Plan|c112ee28-e7be-407d-9af9-6c47baa79ee3</vt:lpwstr>
  </property>
  <property fmtid="{D5CDD505-2E9C-101B-9397-08002B2CF9AE}" pid="25" name="mc1af4c238594e12bbb9206d9aa9c5d3">
    <vt:lpwstr>208 Plan|c112ee28-e7be-407d-9af9-6c47baa79ee3</vt:lpwstr>
  </property>
  <property fmtid="{D5CDD505-2E9C-101B-9397-08002B2CF9AE}" pid="26" name="Order">
    <vt:r8>149300</vt:r8>
  </property>
  <property fmtid="{D5CDD505-2E9C-101B-9397-08002B2CF9AE}" pid="27" name="xd_Signature">
    <vt:bool>false</vt:bool>
  </property>
  <property fmtid="{D5CDD505-2E9C-101B-9397-08002B2CF9AE}" pid="28" name="xd_ProgID">
    <vt:lpwstr/>
  </property>
  <property fmtid="{D5CDD505-2E9C-101B-9397-08002B2CF9AE}" pid="29" name="_SourceUrl">
    <vt:lpwstr/>
  </property>
  <property fmtid="{D5CDD505-2E9C-101B-9397-08002B2CF9AE}" pid="30" name="_SharedFileIndex">
    <vt:lpwstr/>
  </property>
  <property fmtid="{D5CDD505-2E9C-101B-9397-08002B2CF9AE}" pid="31" name="ComplianceAssetId">
    <vt:lpwstr/>
  </property>
  <property fmtid="{D5CDD505-2E9C-101B-9397-08002B2CF9AE}" pid="32" name="TemplateUrl">
    <vt:lpwstr/>
  </property>
  <property fmtid="{D5CDD505-2E9C-101B-9397-08002B2CF9AE}" pid="33" name="TaxKeyword">
    <vt:lpwstr/>
  </property>
  <property fmtid="{D5CDD505-2E9C-101B-9397-08002B2CF9AE}" pid="34" name="Program Area">
    <vt:lpwstr/>
  </property>
  <property fmtid="{D5CDD505-2E9C-101B-9397-08002B2CF9AE}" pid="35" name="Project ID0">
    <vt:lpwstr>694;#208 Plan|c112ee28-e7be-407d-9af9-6c47baa79ee3</vt:lpwstr>
  </property>
  <property fmtid="{D5CDD505-2E9C-101B-9397-08002B2CF9AE}" pid="36" name="CCC Keywords">
    <vt:lpwstr/>
  </property>
  <property fmtid="{D5CDD505-2E9C-101B-9397-08002B2CF9AE}" pid="37" name="e1a5b98cdd71426dacb6e478c7a5882f">
    <vt:lpwstr/>
  </property>
  <property fmtid="{D5CDD505-2E9C-101B-9397-08002B2CF9AE}" pid="38" name="Wiki Page Categories">
    <vt:lpwstr/>
  </property>
  <property fmtid="{D5CDD505-2E9C-101B-9397-08002B2CF9AE}" pid="39" name="MediaServiceImageTags">
    <vt:lpwstr/>
  </property>
  <property fmtid="{D5CDD505-2E9C-101B-9397-08002B2CF9AE}" pid="40" name="CCC_x0020_Keywords">
    <vt:lpwstr/>
  </property>
  <property fmtid="{D5CDD505-2E9C-101B-9397-08002B2CF9AE}" pid="41" name="Project_x0020_ID">
    <vt:lpwstr>897;#tech-matrix|5c209719-8a61-49bd-9ea4-257e68ba0902</vt:lpwstr>
  </property>
  <property fmtid="{D5CDD505-2E9C-101B-9397-08002B2CF9AE}" pid="42" name="Town_x0020_or_x0020_Village">
    <vt:lpwstr/>
  </property>
  <property fmtid="{D5CDD505-2E9C-101B-9397-08002B2CF9AE}" pid="43" name="Document_x0020_Status">
    <vt:lpwstr/>
  </property>
  <property fmtid="{D5CDD505-2E9C-101B-9397-08002B2CF9AE}" pid="44" name="Regulatory_x0020_Review_x0020_Types">
    <vt:lpwstr/>
  </property>
  <property fmtid="{D5CDD505-2E9C-101B-9397-08002B2CF9AE}" pid="45" name="CCC_x0020_Plans">
    <vt:lpwstr>206;#208 Plan|c112ee28-e7be-407d-9af9-6c47baa79ee3</vt:lpwstr>
  </property>
  <property fmtid="{D5CDD505-2E9C-101B-9397-08002B2CF9AE}" pid="46" name="CCC_x0020_Document_x0020_Type">
    <vt:lpwstr/>
  </property>
  <property fmtid="{D5CDD505-2E9C-101B-9397-08002B2CF9AE}" pid="47" name="Wiki_x0020_Page_x0020_Categories">
    <vt:lpwstr/>
  </property>
  <property fmtid="{D5CDD505-2E9C-101B-9397-08002B2CF9AE}" pid="48" name="Project_x0020_ID0">
    <vt:lpwstr>694;#208 Plan|c112ee28-e7be-407d-9af9-6c47baa79ee3</vt:lpwstr>
  </property>
  <property fmtid="{D5CDD505-2E9C-101B-9397-08002B2CF9AE}" pid="49" name="Program_x0020_Area">
    <vt:lpwstr/>
  </property>
</Properties>
</file>